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gtel.sharepoint.com/sites/SingtelInvestorRelations/Shared Documents/General/Results/FY2026 (4Q) - 21 May 2026/HFS/"/>
    </mc:Choice>
  </mc:AlternateContent>
  <xr:revisionPtr revIDLastSave="221" documentId="8_{8894D543-865F-4F11-844C-2B5B1473075C}" xr6:coauthVersionLast="47" xr6:coauthVersionMax="47" xr10:uidLastSave="{981492F9-6CD5-4154-9294-C137A1967D4A}"/>
  <bookViews>
    <workbookView xWindow="-5940" yWindow="-21720" windowWidth="38640" windowHeight="21120" tabRatio="873" xr2:uid="{00000000-000D-0000-FFFF-FFFF00000000}"/>
  </bookViews>
  <sheets>
    <sheet name="Group P&amp;L (Half year)" sheetId="37" r:id="rId1"/>
    <sheet name="Optus (A$) (Half Year)" sheetId="82" r:id="rId2"/>
    <sheet name="Singtel Singapore (Half year)" sheetId="76" r:id="rId3"/>
    <sheet name="Singapore Consumer (Half year)" sheetId="39" state="hidden" r:id="rId4"/>
    <sheet name="NCS (Half year)" sheetId="51" r:id="rId5"/>
    <sheet name="Group Enterprise (Half year)" sheetId="41" state="hidden" r:id="rId6"/>
    <sheet name="Digital Co (Half year)" sheetId="77" r:id="rId7"/>
    <sheet name="Associates (Half year)" sheetId="43" r:id="rId8"/>
    <sheet name="Singapore drivers (Half year)" sheetId="44" r:id="rId9"/>
    <sheet name="Optus drivers (Half year)" sheetId="83" r:id="rId10"/>
    <sheet name="Group Balance Sheet (Half year)" sheetId="80" r:id="rId11"/>
  </sheets>
  <externalReferences>
    <externalReference r:id="rId12"/>
    <externalReference r:id="rId13"/>
    <externalReference r:id="rId14"/>
  </externalReferences>
  <definedNames>
    <definedName name="a" localSheetId="1">#REF!</definedName>
    <definedName name="a" localSheetId="9">#REF!</definedName>
    <definedName name="a">#REF!</definedName>
    <definedName name="aa" localSheetId="9">#REF!</definedName>
    <definedName name="aa">#REF!</definedName>
    <definedName name="aaa" localSheetId="9">#REF!</definedName>
    <definedName name="aaa">#REF!</definedName>
    <definedName name="abc" localSheetId="9">#REF!</definedName>
    <definedName name="abc">#REF!</definedName>
    <definedName name="apple" localSheetId="9">#REF!</definedName>
    <definedName name="apple">#REF!</definedName>
    <definedName name="b" localSheetId="9">#REF!</definedName>
    <definedName name="b">#REF!</definedName>
    <definedName name="bb" localSheetId="9">#REF!</definedName>
    <definedName name="bb">#REF!</definedName>
    <definedName name="Breda" localSheetId="9">#REF!</definedName>
    <definedName name="Breda">#REF!</definedName>
    <definedName name="gh" localSheetId="9">#REF!</definedName>
    <definedName name="gh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"07/21/2023 01:23:00"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" localSheetId="9">#REF!</definedName>
    <definedName name="m">#REF!</definedName>
    <definedName name="MigratetoPrepaidQuarterlyreporyFY18_fbaec708a22c4cd595a9c7d73193535e_fbaec708a22c4cd595a9c7d73193535e" localSheetId="1">'[1]Cognos data'!#REF!</definedName>
    <definedName name="MigratetoPrepaidQuarterlyreporyFY18_fbaec708a22c4cd595a9c7d73193535e_fbaec708a22c4cd595a9c7d73193535e" localSheetId="9">'[1]Cognos data'!#REF!</definedName>
    <definedName name="MigratetoPrepaidQuarterlyreporyFY18_fbaec708a22c4cd595a9c7d73193535e_fbaec708a22c4cd595a9c7d73193535e">'[2]Cognos data'!#REF!</definedName>
    <definedName name="MigratetoPrepaidQuarterlyreporyFY18_fbaec708a22c4cd595a9c7d73193535e_fbaec708a22c4cd595a9c7d73193535e_Columns" localSheetId="1">'[1]Cognos data'!#REF!</definedName>
    <definedName name="MigratetoPrepaidQuarterlyreporyFY18_fbaec708a22c4cd595a9c7d73193535e_fbaec708a22c4cd595a9c7d73193535e_Columns" localSheetId="9">'[1]Cognos data'!#REF!</definedName>
    <definedName name="MigratetoPrepaidQuarterlyreporyFY18_fbaec708a22c4cd595a9c7d73193535e_fbaec708a22c4cd595a9c7d73193535e_Columns">'[2]Cognos data'!#REF!</definedName>
    <definedName name="MigratetoPrepaidQuarterlyreporyFY18_fbaec708a22c4cd595a9c7d73193535e_fbaec708a22c4cd595a9c7d73193535e_Measure" localSheetId="1">'[1]Cognos data'!#REF!</definedName>
    <definedName name="MigratetoPrepaidQuarterlyreporyFY18_fbaec708a22c4cd595a9c7d73193535e_fbaec708a22c4cd595a9c7d73193535e_Measure" localSheetId="9">'[1]Cognos data'!#REF!</definedName>
    <definedName name="MigratetoPrepaidQuarterlyreporyFY18_fbaec708a22c4cd595a9c7d73193535e_fbaec708a22c4cd595a9c7d73193535e_Measure">'[2]Cognos data'!#REF!</definedName>
    <definedName name="MigratetoPrepaidQuarterlyreporyFY18_fbaec708a22c4cd595a9c7d73193535e_fbaec708a22c4cd595a9c7d73193535e_Rows" localSheetId="1">'[1]Cognos data'!#REF!</definedName>
    <definedName name="MigratetoPrepaidQuarterlyreporyFY18_fbaec708a22c4cd595a9c7d73193535e_fbaec708a22c4cd595a9c7d73193535e_Rows" localSheetId="9">'[1]Cognos data'!#REF!</definedName>
    <definedName name="MigratetoPrepaidQuarterlyreporyFY18_fbaec708a22c4cd595a9c7d73193535e_fbaec708a22c4cd595a9c7d73193535e_Rows">'[2]Cognos data'!#REF!</definedName>
    <definedName name="MigratetoPrepaidQuarterlyreporyFY181_fbaec708a22c4cd595a9c7d73193535e_fbaec708a22c4cd595a9c7d73193535e" localSheetId="1">'[1]Cognos data'!#REF!</definedName>
    <definedName name="MigratetoPrepaidQuarterlyreporyFY181_fbaec708a22c4cd595a9c7d73193535e_fbaec708a22c4cd595a9c7d73193535e" localSheetId="9">'[1]Cognos data'!#REF!</definedName>
    <definedName name="MigratetoPrepaidQuarterlyreporyFY181_fbaec708a22c4cd595a9c7d73193535e_fbaec708a22c4cd595a9c7d73193535e">'[2]Cognos data'!#REF!</definedName>
    <definedName name="MigratetoPrepaidQuarterlyreporyFY181_fbaec708a22c4cd595a9c7d73193535e_fbaec708a22c4cd595a9c7d73193535e_Columns" localSheetId="1">'[1]Cognos data'!#REF!</definedName>
    <definedName name="MigratetoPrepaidQuarterlyreporyFY181_fbaec708a22c4cd595a9c7d73193535e_fbaec708a22c4cd595a9c7d73193535e_Columns" localSheetId="9">'[1]Cognos data'!#REF!</definedName>
    <definedName name="MigratetoPrepaidQuarterlyreporyFY181_fbaec708a22c4cd595a9c7d73193535e_fbaec708a22c4cd595a9c7d73193535e_Columns">'[2]Cognos data'!#REF!</definedName>
    <definedName name="MigratetoPrepaidQuarterlyreporyFY181_fbaec708a22c4cd595a9c7d73193535e_fbaec708a22c4cd595a9c7d73193535e_Measure" localSheetId="1">'[1]Cognos data'!#REF!</definedName>
    <definedName name="MigratetoPrepaidQuarterlyreporyFY181_fbaec708a22c4cd595a9c7d73193535e_fbaec708a22c4cd595a9c7d73193535e_Measure" localSheetId="9">'[1]Cognos data'!#REF!</definedName>
    <definedName name="MigratetoPrepaidQuarterlyreporyFY181_fbaec708a22c4cd595a9c7d73193535e_fbaec708a22c4cd595a9c7d73193535e_Measure">'[2]Cognos data'!#REF!</definedName>
    <definedName name="MigratetoPrepaidQuarterlyreporyFY181_fbaec708a22c4cd595a9c7d73193535e_fbaec708a22c4cd595a9c7d73193535e_Rows" localSheetId="1">'[1]Cognos data'!#REF!</definedName>
    <definedName name="MigratetoPrepaidQuarterlyreporyFY181_fbaec708a22c4cd595a9c7d73193535e_fbaec708a22c4cd595a9c7d73193535e_Rows" localSheetId="9">'[1]Cognos data'!#REF!</definedName>
    <definedName name="MigratetoPrepaidQuarterlyreporyFY181_fbaec708a22c4cd595a9c7d73193535e_fbaec708a22c4cd595a9c7d73193535e_Rows">'[2]Cognos data'!#REF!</definedName>
    <definedName name="mm" localSheetId="1">#REF!</definedName>
    <definedName name="mm" localSheetId="9">#REF!</definedName>
    <definedName name="mm">#REF!</definedName>
    <definedName name="Note7" localSheetId="1">#REF!</definedName>
    <definedName name="Note7" localSheetId="9">#REF!</definedName>
    <definedName name="Note7">#REF!</definedName>
    <definedName name="Oppo" localSheetId="1">#REF!</definedName>
    <definedName name="Oppo" localSheetId="9">#REF!</definedName>
    <definedName name="Oppo">#REF!</definedName>
    <definedName name="OppoR" localSheetId="9">#REF!</definedName>
    <definedName name="OppoR">#REF!</definedName>
    <definedName name="p" localSheetId="9">#REF!</definedName>
    <definedName name="p">#REF!</definedName>
    <definedName name="pixel3" localSheetId="9">#REF!</definedName>
    <definedName name="pixel3">#REF!</definedName>
    <definedName name="pixel3xl" localSheetId="9">#REF!</definedName>
    <definedName name="pixel3xl">#REF!</definedName>
    <definedName name="_xlnm.Print_Area" localSheetId="7">'Associates (Half year)'!$A$1:$P$53</definedName>
    <definedName name="_xlnm.Print_Area" localSheetId="6">'Digital Co (Half year)'!$A$1:$O$51</definedName>
    <definedName name="_xlnm.Print_Area" localSheetId="10">'Group Balance Sheet (Half year)'!$A$1:$O$29</definedName>
    <definedName name="_xlnm.Print_Area" localSheetId="5">'Group Enterprise (Half year)'!$A$1:$J$48</definedName>
    <definedName name="_xlnm.Print_Area" localSheetId="0">'Group P&amp;L (Half year)'!$A$1:$R$51</definedName>
    <definedName name="_xlnm.Print_Area" localSheetId="4">'NCS (Half year)'!$A$1:$Q$63</definedName>
    <definedName name="_xlnm.Print_Area" localSheetId="1">'Optus (A$) (Half Year)'!$A$1:$P$44</definedName>
    <definedName name="_xlnm.Print_Area" localSheetId="9">'Optus drivers (Half year)'!$A$1:$K$46</definedName>
    <definedName name="_xlnm.Print_Area" localSheetId="3">'Singapore Consumer (Half year)'!$A$1:$M$48</definedName>
    <definedName name="_xlnm.Print_Area" localSheetId="8">'Singapore drivers (Half year)'!$A$1:$Q$40</definedName>
    <definedName name="_xlnm.Print_Area" localSheetId="2">'Singtel Singapore (Half year)'!$A$1:$P$47</definedName>
    <definedName name="Section2_1">'[3]Section 2'!$P$12+'[3]Section 2'!$A$4:$N$30</definedName>
    <definedName name="TM1REBUILDOPTION">1</definedName>
    <definedName name="ty" localSheetId="1">#REF!</definedName>
    <definedName name="ty" localSheetId="9">#REF!</definedName>
    <definedName name="ty">#REF!</definedName>
    <definedName name="WA" localSheetId="1">#REF!</definedName>
    <definedName name="WA" localSheetId="9">#REF!</definedName>
    <definedName name="WA">#REF!</definedName>
    <definedName name="x" localSheetId="9">#REF!</definedName>
    <definedName name="x">#REF!</definedName>
    <definedName name="Z_26CEF2E8_D3C0_46EB_A92A_90675AC5FBCA_.wvu.Cols" localSheetId="7" hidden="1">'Associates (Half year)'!#REF!,'Associates (Half year)'!#REF!</definedName>
    <definedName name="Z_26CEF2E8_D3C0_46EB_A92A_90675AC5FBCA_.wvu.Cols" localSheetId="10" hidden="1">'Group Balance Sheet (Half year)'!#REF!,'Group Balance Sheet (Half year)'!#REF!</definedName>
    <definedName name="Z_26CEF2E8_D3C0_46EB_A92A_90675AC5FBCA_.wvu.Cols" localSheetId="0" hidden="1">'Group P&amp;L (Half year)'!#REF!,'Group P&amp;L (Half year)'!#REF!</definedName>
    <definedName name="Z_26CEF2E8_D3C0_46EB_A92A_90675AC5FBCA_.wvu.Cols" localSheetId="8" hidden="1">'Singapore drivers (Half year)'!#REF!,'Singapore drivers (Half year)'!#REF!</definedName>
    <definedName name="Z_26CEF2E8_D3C0_46EB_A92A_90675AC5FBCA_.wvu.PrintArea" localSheetId="7" hidden="1">'Associates (Half year)'!$A$1:$C$47</definedName>
    <definedName name="Z_26CEF2E8_D3C0_46EB_A92A_90675AC5FBCA_.wvu.PrintArea" localSheetId="6" hidden="1">'Digital Co (Half year)'!$A$1:$B$43</definedName>
    <definedName name="Z_26CEF2E8_D3C0_46EB_A92A_90675AC5FBCA_.wvu.PrintArea" localSheetId="5" hidden="1">'Group Enterprise (Half year)'!$A$1:$B$41</definedName>
    <definedName name="Z_26CEF2E8_D3C0_46EB_A92A_90675AC5FBCA_.wvu.PrintArea" localSheetId="0" hidden="1">'Group P&amp;L (Half year)'!$A$1:$C$50</definedName>
    <definedName name="Z_26CEF2E8_D3C0_46EB_A92A_90675AC5FBCA_.wvu.PrintArea" localSheetId="4" hidden="1">'NCS (Half year)'!$A$1:$B$42</definedName>
    <definedName name="Z_26CEF2E8_D3C0_46EB_A92A_90675AC5FBCA_.wvu.PrintArea" localSheetId="1" hidden="1">'Optus (A$) (Half Year)'!$A$1:$B$40</definedName>
    <definedName name="Z_26CEF2E8_D3C0_46EB_A92A_90675AC5FBCA_.wvu.PrintArea" localSheetId="3" hidden="1">'Singapore Consumer (Half year)'!$A$1:$B$48</definedName>
    <definedName name="Z_26CEF2E8_D3C0_46EB_A92A_90675AC5FBCA_.wvu.PrintArea" localSheetId="8" hidden="1">'Singapore drivers (Half year)'!$A$1:$C$38</definedName>
    <definedName name="Z_26CEF2E8_D3C0_46EB_A92A_90675AC5FBCA_.wvu.PrintArea" localSheetId="2" hidden="1">'Singtel Singapore (Half year)'!$A$1:$B$47</definedName>
    <definedName name="Z_26CEF2E8_D3C0_46EB_A92A_90675AC5FBCA_.wvu.Rows" localSheetId="7" hidden="1">'Associates (Half year)'!#REF!,'Associates (Half year)'!$22:$22,'Associates (Half year)'!$33:$33,'Associates (Half year)'!#REF!</definedName>
    <definedName name="Z_26CEF2E8_D3C0_46EB_A92A_90675AC5FBCA_.wvu.Rows" localSheetId="6" hidden="1">'Digital Co (Half year)'!$6:$6,'Digital Co (Half year)'!#REF!</definedName>
    <definedName name="Z_26CEF2E8_D3C0_46EB_A92A_90675AC5FBCA_.wvu.Rows" localSheetId="10" hidden="1">'Group Balance Sheet (Half year)'!$6:$6</definedName>
    <definedName name="Z_26CEF2E8_D3C0_46EB_A92A_90675AC5FBCA_.wvu.Rows" localSheetId="5" hidden="1">'Group Enterprise (Half year)'!$6:$6,'Group Enterprise (Half year)'!#REF!</definedName>
    <definedName name="Z_26CEF2E8_D3C0_46EB_A92A_90675AC5FBCA_.wvu.Rows" localSheetId="0" hidden="1">'Group P&amp;L (Half year)'!$6:$6</definedName>
    <definedName name="Z_26CEF2E8_D3C0_46EB_A92A_90675AC5FBCA_.wvu.Rows" localSheetId="4" hidden="1">'NCS (Half year)'!$6:$6,'NCS (Half year)'!#REF!</definedName>
    <definedName name="Z_26CEF2E8_D3C0_46EB_A92A_90675AC5FBCA_.wvu.Rows" localSheetId="1" hidden="1">'Optus (A$) (Half Year)'!$6:$6,'Optus (A$) (Half Year)'!#REF!</definedName>
    <definedName name="Z_26CEF2E8_D3C0_46EB_A92A_90675AC5FBCA_.wvu.Rows" localSheetId="3" hidden="1">'Singapore Consumer (Half year)'!$6:$6,'Singapore Consumer (Half year)'!$35:$35</definedName>
    <definedName name="Z_26CEF2E8_D3C0_46EB_A92A_90675AC5FBCA_.wvu.Rows" localSheetId="8" hidden="1">'Singapore drivers (Half year)'!#REF!,'Singapore drivers (Half year)'!$19:$19</definedName>
    <definedName name="Z_26CEF2E8_D3C0_46EB_A92A_90675AC5FBCA_.wvu.Rows" localSheetId="2" hidden="1">'Singtel Singapore (Half year)'!$6:$6,'Singtel Singapore (Half year)'!#REF!</definedName>
    <definedName name="zzzzz" localSheetId="1">#REF!</definedName>
    <definedName name="zzzzz" localSheetId="9">#REF!</definedName>
    <definedName name="zzzzz">#REF!</definedName>
  </definedNames>
  <calcPr calcId="191028"/>
  <customWorkbookViews>
    <customWorkbookView name="Sylvia Kwan - Personal View" guid="{26CEF2E8-D3C0-46EB-A92A-90675AC5FBCA}" mergeInterval="0" personalView="1" maximized="1" xWindow="-8" yWindow="-8" windowWidth="1296" windowHeight="1000" tabRatio="85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0" l="1"/>
  <c r="G9" i="80"/>
  <c r="C33" i="76"/>
  <c r="E33" i="76"/>
  <c r="P31" i="43"/>
  <c r="P30" i="43"/>
  <c r="P29" i="43"/>
  <c r="I40" i="77"/>
  <c r="G40" i="77"/>
  <c r="O9" i="80"/>
  <c r="H25" i="44"/>
  <c r="F46" i="37"/>
  <c r="F44" i="37"/>
  <c r="G46" i="37"/>
  <c r="M46" i="37"/>
  <c r="M44" i="37"/>
  <c r="M45" i="37"/>
  <c r="F41" i="37"/>
  <c r="M41" i="37"/>
  <c r="G41" i="37"/>
  <c r="J21" i="44"/>
  <c r="O10" i="80"/>
  <c r="O11" i="80"/>
  <c r="O12" i="80"/>
  <c r="O13" i="80"/>
  <c r="O14" i="80"/>
  <c r="O15" i="80"/>
  <c r="O16" i="80"/>
  <c r="O18" i="80"/>
  <c r="O20" i="80"/>
  <c r="O21" i="80"/>
  <c r="O22" i="80"/>
  <c r="O23" i="80"/>
  <c r="O24" i="80"/>
  <c r="O25" i="80"/>
  <c r="O26" i="80"/>
  <c r="O27" i="80"/>
  <c r="E33" i="82"/>
  <c r="E35" i="82"/>
  <c r="H23" i="80"/>
  <c r="G43" i="37"/>
  <c r="M43" i="37"/>
  <c r="P10" i="44"/>
  <c r="P11" i="44"/>
  <c r="M42" i="37" l="1"/>
  <c r="G42" i="37"/>
  <c r="F42" i="37"/>
  <c r="F43" i="37"/>
  <c r="D41" i="37" l="1"/>
  <c r="D44" i="37"/>
  <c r="F22" i="51"/>
  <c r="F21" i="51"/>
  <c r="M22" i="51"/>
  <c r="M21" i="51"/>
  <c r="E35" i="37"/>
  <c r="E34" i="37"/>
  <c r="E33" i="37"/>
  <c r="E32" i="37"/>
  <c r="L37" i="37"/>
  <c r="L35" i="37"/>
  <c r="L34" i="37"/>
  <c r="L41" i="37"/>
  <c r="L44" i="37"/>
  <c r="E41" i="37"/>
  <c r="E44" i="37"/>
  <c r="E25" i="76" l="1"/>
  <c r="E14" i="76"/>
  <c r="E14" i="77" l="1"/>
  <c r="G27" i="80" l="1"/>
  <c r="G24" i="80"/>
  <c r="G21" i="80"/>
  <c r="G18" i="80"/>
  <c r="G16" i="80"/>
  <c r="G14" i="80"/>
  <c r="D38" i="37"/>
  <c r="E22" i="51"/>
  <c r="E21" i="51"/>
  <c r="E20" i="51"/>
  <c r="E25" i="44"/>
  <c r="M25" i="44"/>
  <c r="C24" i="41"/>
  <c r="C25" i="41"/>
  <c r="C27" i="41"/>
  <c r="C28" i="41"/>
  <c r="C29" i="41"/>
  <c r="C34" i="41"/>
  <c r="C35" i="41"/>
  <c r="C10" i="39"/>
  <c r="C11" i="39"/>
  <c r="C12" i="39"/>
  <c r="C37" i="39"/>
  <c r="C38" i="39"/>
  <c r="C9" i="76"/>
  <c r="C10" i="76"/>
  <c r="E10" i="76"/>
  <c r="C11" i="76"/>
  <c r="E11" i="76"/>
  <c r="C12" i="76"/>
  <c r="C13" i="76"/>
  <c r="E13" i="76"/>
  <c r="C15" i="76"/>
  <c r="C16" i="76"/>
  <c r="E16" i="76"/>
  <c r="C20" i="76"/>
  <c r="E20" i="76"/>
  <c r="C21" i="76"/>
  <c r="E21" i="76"/>
  <c r="E22" i="76"/>
  <c r="C23" i="76"/>
  <c r="E23" i="76"/>
  <c r="C26" i="76"/>
  <c r="E26" i="76"/>
  <c r="C27" i="76"/>
  <c r="C28" i="76"/>
  <c r="C31" i="76"/>
  <c r="C35" i="76"/>
  <c r="E35" i="76"/>
  <c r="C37" i="76"/>
  <c r="E37" i="76"/>
  <c r="D16" i="37"/>
  <c r="D24" i="37"/>
  <c r="K31" i="37"/>
  <c r="K33" i="37"/>
  <c r="K35" i="37"/>
  <c r="K38" i="37"/>
</calcChain>
</file>

<file path=xl/sharedStrings.xml><?xml version="1.0" encoding="utf-8"?>
<sst xmlns="http://schemas.openxmlformats.org/spreadsheetml/2006/main" count="730" uniqueCount="300">
  <si>
    <t xml:space="preserve">Singapore Telecommunications Ltd </t>
  </si>
  <si>
    <t xml:space="preserve">GROUP </t>
  </si>
  <si>
    <t>FY2024</t>
  </si>
  <si>
    <t>FY2025</t>
  </si>
  <si>
    <t>FY2026</t>
  </si>
  <si>
    <t>S$ Million</t>
  </si>
  <si>
    <t>1H</t>
  </si>
  <si>
    <t>2H</t>
  </si>
  <si>
    <t>FY2022/23</t>
  </si>
  <si>
    <t>Income Statement</t>
  </si>
  <si>
    <t>Operating revenue</t>
  </si>
  <si>
    <t>Operating expenses</t>
  </si>
  <si>
    <t xml:space="preserve"> </t>
  </si>
  <si>
    <t xml:space="preserve">Other income </t>
  </si>
  <si>
    <t>EBITDA</t>
  </si>
  <si>
    <t>EBITDA margin (%)</t>
  </si>
  <si>
    <t>Share of associates' pre-tax profits</t>
  </si>
  <si>
    <t xml:space="preserve">EBITDA &amp; share of associates' pretax profits </t>
  </si>
  <si>
    <t>Depreciation</t>
  </si>
  <si>
    <t>Amortisation of intangibles</t>
  </si>
  <si>
    <t>Depreciation &amp; amortisation</t>
  </si>
  <si>
    <t xml:space="preserve">EBIT </t>
  </si>
  <si>
    <t>Net finance expense</t>
  </si>
  <si>
    <t xml:space="preserve">Profit before EI and tax </t>
  </si>
  <si>
    <t xml:space="preserve">Taxation </t>
  </si>
  <si>
    <t xml:space="preserve">Profit after tax </t>
  </si>
  <si>
    <t>Minority interests</t>
  </si>
  <si>
    <t>Underlying net profit</t>
  </si>
  <si>
    <t xml:space="preserve">Exceptional items (post-tax) </t>
  </si>
  <si>
    <t>Net profit/(loss)</t>
  </si>
  <si>
    <t>Group Operating Revenue Composition</t>
  </si>
  <si>
    <t xml:space="preserve">   Mobile service (includes international call revenue)</t>
  </si>
  <si>
    <t xml:space="preserve">  Sale of equipment</t>
  </si>
  <si>
    <t>Mobile</t>
  </si>
  <si>
    <t xml:space="preserve">Infocomm Technology ("ICT") </t>
  </si>
  <si>
    <t>Data and Internet</t>
  </si>
  <si>
    <t>Fixed voice</t>
  </si>
  <si>
    <t>Pay television</t>
  </si>
  <si>
    <t>Others</t>
  </si>
  <si>
    <t>Group Operating Expenses Composition</t>
  </si>
  <si>
    <r>
      <rPr>
        <sz val="14"/>
        <color rgb="FF000000"/>
        <rFont val="Arial"/>
        <family val="2"/>
      </rPr>
      <t xml:space="preserve">Traffic expenses </t>
    </r>
    <r>
      <rPr>
        <vertAlign val="superscript"/>
        <sz val="14"/>
        <color rgb="FF000000"/>
        <rFont val="Arial"/>
        <family val="2"/>
      </rPr>
      <t>(1)</t>
    </r>
  </si>
  <si>
    <r>
      <t xml:space="preserve">Staff costs </t>
    </r>
    <r>
      <rPr>
        <vertAlign val="superscript"/>
        <sz val="14"/>
        <rFont val="Arial"/>
        <family val="2"/>
      </rPr>
      <t>(1)</t>
    </r>
  </si>
  <si>
    <r>
      <t xml:space="preserve">Cost of sales </t>
    </r>
    <r>
      <rPr>
        <vertAlign val="superscript"/>
        <sz val="14"/>
        <color rgb="FF000000"/>
        <rFont val="Arial"/>
        <family val="2"/>
      </rPr>
      <t>(1)(2)</t>
    </r>
  </si>
  <si>
    <t>Repair and maintenance</t>
  </si>
  <si>
    <t xml:space="preserve">(1) Comparatives have been restated. </t>
  </si>
  <si>
    <t>(2) Cost of sales included cost of goods sold and direct service costs such as costs of content and programming.</t>
  </si>
  <si>
    <t>TOTAL OPTUS</t>
  </si>
  <si>
    <t xml:space="preserve"> FY2022/23</t>
  </si>
  <si>
    <t>A$ Million</t>
  </si>
  <si>
    <t>EBITDA Margin (%)</t>
  </si>
  <si>
    <t>EBIT</t>
  </si>
  <si>
    <t> </t>
  </si>
  <si>
    <t>Total Optus Operating Revenue Composition</t>
  </si>
  <si>
    <t>Total Mobile Revenue</t>
  </si>
  <si>
    <t>Mobile service</t>
  </si>
  <si>
    <t>Equipment</t>
  </si>
  <si>
    <t>Total Home Revenue</t>
  </si>
  <si>
    <t xml:space="preserve">NBN Broadband </t>
  </si>
  <si>
    <t>Fixed Wireless Access ("FWA")</t>
  </si>
  <si>
    <r>
      <t xml:space="preserve">Others </t>
    </r>
    <r>
      <rPr>
        <i/>
        <vertAlign val="superscript"/>
        <sz val="14"/>
        <color theme="1"/>
        <rFont val="Arial"/>
        <family val="2"/>
      </rPr>
      <t>(1)</t>
    </r>
  </si>
  <si>
    <t>Total Wholesale, Fleet and Enterprise Fixed</t>
  </si>
  <si>
    <t>Total Optus Operating Expenses Composition</t>
  </si>
  <si>
    <t>Traffic expenses</t>
  </si>
  <si>
    <r>
      <t xml:space="preserve">Staff costs </t>
    </r>
    <r>
      <rPr>
        <vertAlign val="superscript"/>
        <sz val="14"/>
        <rFont val="Arial"/>
        <family val="2"/>
      </rPr>
      <t>(2)</t>
    </r>
  </si>
  <si>
    <r>
      <t xml:space="preserve">Cost of sales </t>
    </r>
    <r>
      <rPr>
        <vertAlign val="superscript"/>
        <sz val="14"/>
        <rFont val="Arial"/>
        <family val="2"/>
      </rPr>
      <t>(2)</t>
    </r>
  </si>
  <si>
    <t>(1) The reduction was mainly attributable to lower revenues from subscription-based TV services and low-margin home installation business upon cessation.</t>
  </si>
  <si>
    <r>
      <t>(2)</t>
    </r>
    <r>
      <rPr>
        <sz val="14"/>
        <rFont val="Times New Roman"/>
        <family val="1"/>
      </rPr>
      <t> </t>
    </r>
    <r>
      <rPr>
        <sz val="14"/>
        <rFont val="Arial"/>
        <family val="2"/>
      </rPr>
      <t>Comparatives have been restated.</t>
    </r>
  </si>
  <si>
    <t>SINGTEL SINGAPORE</t>
  </si>
  <si>
    <r>
      <t>FY2022/23</t>
    </r>
    <r>
      <rPr>
        <b/>
        <vertAlign val="superscript"/>
        <sz val="14"/>
        <rFont val="Arial"/>
        <family val="2"/>
      </rPr>
      <t xml:space="preserve"> (1)</t>
    </r>
  </si>
  <si>
    <r>
      <rPr>
        <sz val="14"/>
        <color rgb="FF000000"/>
        <rFont val="Arial"/>
        <family val="2"/>
      </rPr>
      <t>Other income</t>
    </r>
    <r>
      <rPr>
        <vertAlign val="superscript"/>
        <sz val="14"/>
        <color rgb="FF000000"/>
        <rFont val="Arial"/>
        <family val="2"/>
      </rPr>
      <t xml:space="preserve"> (2)</t>
    </r>
  </si>
  <si>
    <t>Singtel Singapore Operating Revenue Composition</t>
  </si>
  <si>
    <t>Sale of equipment</t>
  </si>
  <si>
    <r>
      <rPr>
        <sz val="14"/>
        <color rgb="FF000000"/>
        <rFont val="Arial"/>
        <family val="2"/>
      </rPr>
      <t>Data and Internet</t>
    </r>
    <r>
      <rPr>
        <vertAlign val="superscript"/>
        <sz val="14"/>
        <color rgb="FF000000"/>
        <rFont val="Arial"/>
        <family val="2"/>
      </rPr>
      <t xml:space="preserve"> (3)</t>
    </r>
  </si>
  <si>
    <r>
      <t>ICT</t>
    </r>
    <r>
      <rPr>
        <vertAlign val="superscript"/>
        <sz val="14"/>
        <color theme="1"/>
        <rFont val="Arial"/>
        <family val="2"/>
      </rPr>
      <t xml:space="preserve"> (4)</t>
    </r>
  </si>
  <si>
    <r>
      <t xml:space="preserve">Pay TV </t>
    </r>
    <r>
      <rPr>
        <vertAlign val="superscript"/>
        <sz val="14"/>
        <color theme="1"/>
        <rFont val="Arial"/>
        <family val="2"/>
      </rPr>
      <t>(5)</t>
    </r>
  </si>
  <si>
    <r>
      <t>Others</t>
    </r>
    <r>
      <rPr>
        <vertAlign val="superscript"/>
        <sz val="14"/>
        <color theme="1"/>
        <rFont val="Arial"/>
        <family val="2"/>
      </rPr>
      <t xml:space="preserve"> (6)</t>
    </r>
  </si>
  <si>
    <t>Singtel Singapore Operating Expenses Composition</t>
  </si>
  <si>
    <t>Cost of sales</t>
  </si>
  <si>
    <t>Staff costs</t>
  </si>
  <si>
    <r>
      <t>Repair and maintenance</t>
    </r>
    <r>
      <rPr>
        <vertAlign val="superscript"/>
        <sz val="14"/>
        <color rgb="FF000000"/>
        <rFont val="Arial"/>
        <family val="2"/>
      </rPr>
      <t xml:space="preserve"> </t>
    </r>
  </si>
  <si>
    <t xml:space="preserve">(1) The figures above are before elimination of intercompany transactions with NCS and Digital InfraCo. </t>
  </si>
  <si>
    <t xml:space="preserve">(2) Included trade foreign currency exchange differences, rental income, gain/loss on disposal of scrap copper and property, plant and equipment, and other miscellaneous recoveries. </t>
  </si>
  <si>
    <t>(5) Included TV equipment sales.</t>
  </si>
  <si>
    <t>SINGAPORE CONSUMER</t>
  </si>
  <si>
    <t>FY2023/24</t>
  </si>
  <si>
    <t>YTD</t>
  </si>
  <si>
    <r>
      <t xml:space="preserve">Other income </t>
    </r>
    <r>
      <rPr>
        <vertAlign val="superscript"/>
        <sz val="14"/>
        <color theme="1"/>
        <rFont val="Arial"/>
        <family val="2"/>
      </rPr>
      <t xml:space="preserve"> (2)</t>
    </r>
  </si>
  <si>
    <t>Singapore Consumer Operating Revenue Composition</t>
  </si>
  <si>
    <r>
      <t xml:space="preserve">Leasing revenue </t>
    </r>
    <r>
      <rPr>
        <i/>
        <vertAlign val="superscript"/>
        <sz val="14"/>
        <color theme="1"/>
        <rFont val="Arial"/>
        <family val="2"/>
      </rPr>
      <t>(3)</t>
    </r>
  </si>
  <si>
    <t>*</t>
  </si>
  <si>
    <r>
      <t xml:space="preserve">Fixed broadband </t>
    </r>
    <r>
      <rPr>
        <vertAlign val="superscript"/>
        <sz val="14"/>
        <color theme="1"/>
        <rFont val="Arial"/>
        <family val="2"/>
      </rPr>
      <t xml:space="preserve"> (4)</t>
    </r>
  </si>
  <si>
    <t>Residential Pay TV</t>
  </si>
  <si>
    <r>
      <t>Others</t>
    </r>
    <r>
      <rPr>
        <vertAlign val="superscript"/>
        <sz val="14"/>
        <color theme="1"/>
        <rFont val="Arial"/>
        <family val="2"/>
      </rPr>
      <t xml:space="preserve"> (5)</t>
    </r>
  </si>
  <si>
    <t>Singapore Consumer Operating Expenses Composition</t>
  </si>
  <si>
    <r>
      <t>Selling and administrative</t>
    </r>
    <r>
      <rPr>
        <vertAlign val="superscript"/>
        <sz val="14"/>
        <rFont val="Arial"/>
        <family val="2"/>
      </rPr>
      <t xml:space="preserve"> (6)</t>
    </r>
  </si>
  <si>
    <t xml:space="preserve">"*" denotes less than +/- S$0.5 million </t>
  </si>
  <si>
    <t>(1) Certain comparatives have been reclassified to be consistent with the current periods.</t>
  </si>
  <si>
    <t xml:space="preserve">     The net trade foreign exchange gains amounted to S$3 million (H2 FY2022: S$0.1 million of loss) for the second half year and S$1 million (FY2022: S$1 million of gain) for the year ended 31 March 2023.</t>
  </si>
  <si>
    <t>(3) Comprised revenue from lease of handsets to mobile customers under two-year contracts.</t>
  </si>
  <si>
    <t>(4) Included sale of home equipment.</t>
  </si>
  <si>
    <t>(5) Included mobile digital business, energy reselling, and revenue from mobile network cabling works and projects.</t>
  </si>
  <si>
    <t>(6) Selling and administrative expenses included utility charges of S$17 million (H2 FY2022: S$13 million) for the for the second half year and S$32 million (FY2022: S$23 million) for the year ended 31 March 2023.</t>
  </si>
  <si>
    <t>NCS</t>
  </si>
  <si>
    <r>
      <rPr>
        <sz val="14"/>
        <color rgb="FF000000"/>
        <rFont val="Arial"/>
        <family val="2"/>
      </rPr>
      <t xml:space="preserve">Other income </t>
    </r>
    <r>
      <rPr>
        <vertAlign val="superscript"/>
        <sz val="14"/>
        <color rgb="FF000000"/>
        <rFont val="Arial"/>
        <family val="2"/>
      </rPr>
      <t>(2)</t>
    </r>
  </si>
  <si>
    <r>
      <t xml:space="preserve">Depreciation &amp; amortisation </t>
    </r>
    <r>
      <rPr>
        <vertAlign val="superscript"/>
        <sz val="14"/>
        <rFont val="Arial"/>
        <family val="2"/>
      </rPr>
      <t>(3)</t>
    </r>
  </si>
  <si>
    <r>
      <t xml:space="preserve">Operating revenue by SBG </t>
    </r>
    <r>
      <rPr>
        <b/>
        <u/>
        <vertAlign val="superscript"/>
        <sz val="14"/>
        <rFont val="Arial"/>
        <family val="2"/>
      </rPr>
      <t>(4)</t>
    </r>
  </si>
  <si>
    <t>Gov+</t>
  </si>
  <si>
    <t>Enterprise</t>
  </si>
  <si>
    <t>Telco+</t>
  </si>
  <si>
    <r>
      <rPr>
        <b/>
        <u/>
        <sz val="14"/>
        <color rgb="FF000000"/>
        <rFont val="Arial"/>
        <family val="2"/>
      </rPr>
      <t xml:space="preserve">Operating revenue by line of business </t>
    </r>
    <r>
      <rPr>
        <b/>
        <u/>
        <vertAlign val="superscript"/>
        <sz val="14"/>
        <color rgb="FF000000"/>
        <rFont val="Arial"/>
        <family val="2"/>
      </rPr>
      <t>(5)</t>
    </r>
  </si>
  <si>
    <t>Applications</t>
  </si>
  <si>
    <t>Infrastructure</t>
  </si>
  <si>
    <t xml:space="preserve">Cyber </t>
  </si>
  <si>
    <t xml:space="preserve">Engineering </t>
  </si>
  <si>
    <t>Digital revenue as % of ICT revenue</t>
  </si>
  <si>
    <t>Operating Expenses Composition</t>
  </si>
  <si>
    <r>
      <t xml:space="preserve">Staff costs </t>
    </r>
    <r>
      <rPr>
        <vertAlign val="superscript"/>
        <sz val="14"/>
        <rFont val="Arial"/>
        <family val="2"/>
      </rPr>
      <t>(7)</t>
    </r>
  </si>
  <si>
    <t>Repair, maintenance and others</t>
  </si>
  <si>
    <t xml:space="preserve">      Certain products and services purchased by these Singtel entities from NCS are subsequently sold to third parties. </t>
  </si>
  <si>
    <r>
      <t xml:space="preserve">(2) </t>
    </r>
    <r>
      <rPr>
        <sz val="14"/>
        <color rgb="FF000000"/>
        <rFont val="Arial"/>
        <family val="2"/>
      </rPr>
      <t xml:space="preserve">Includes trade foreign exchange differences, rental income, gain/loss on disposal of property, plant and equipment, and other miscellaneous recoveries. </t>
    </r>
  </si>
  <si>
    <r>
      <t>(4)</t>
    </r>
    <r>
      <rPr>
        <sz val="14"/>
        <color rgb="FF000000"/>
        <rFont val="Arial"/>
        <family val="2"/>
      </rPr>
      <t> SBG refers to Strategic Business Group. Gov+, Enterprise and Telco+ focus on growing NCS’ business in:</t>
    </r>
  </si>
  <si>
    <t xml:space="preserve">(5) Applications comprise business application implementation and management, SAP and Microsoft solutions, enterprise application delivery, operational excellence and testing services. </t>
  </si>
  <si>
    <t xml:space="preserve">      Infrastructure comprises enterprise infrastructure management services including architecture, service management, systems and database administration, network integration and management, </t>
  </si>
  <si>
    <t xml:space="preserve">      data centre and business continuity planning, end user computing and service desk operation. Cyber comprises security architecture, threat monitoring, access management, end point and </t>
  </si>
  <si>
    <t xml:space="preserve">      network security. Engineering comprises implementation and management of telecommunications infrastructure, aviation communications, intelligent building systems, secured communications, </t>
  </si>
  <si>
    <t xml:space="preserve">      video technology and analytics, sensors, internet of things (IoT) solutions as well as command and control systems. </t>
  </si>
  <si>
    <t xml:space="preserve">(6) Refers to capabilities in Digital (Digital transformation and digital experience), Data (Data and AI strategy, big data and AI/ML application), Cloud (Cloud strategy and cloud innovation), </t>
  </si>
  <si>
    <t xml:space="preserve">(7) Excludes staff under contract with less than one year. </t>
  </si>
  <si>
    <t xml:space="preserve">Digital InfraCo </t>
  </si>
  <si>
    <r>
      <t xml:space="preserve">Other income </t>
    </r>
    <r>
      <rPr>
        <vertAlign val="superscript"/>
        <sz val="14"/>
        <color theme="1"/>
        <rFont val="Arial"/>
        <family val="2"/>
      </rPr>
      <t>(2)</t>
    </r>
  </si>
  <si>
    <t>Nxera</t>
  </si>
  <si>
    <r>
      <t xml:space="preserve">Operating revenue </t>
    </r>
    <r>
      <rPr>
        <vertAlign val="superscript"/>
        <sz val="14"/>
        <color rgb="FF000000"/>
        <rFont val="Arial"/>
        <family val="2"/>
      </rPr>
      <t>(3)</t>
    </r>
  </si>
  <si>
    <t>Digital InfraCo Operating Revenue Composition</t>
  </si>
  <si>
    <r>
      <t xml:space="preserve">Data centre </t>
    </r>
    <r>
      <rPr>
        <vertAlign val="superscript"/>
        <sz val="14"/>
        <color rgb="FF000000"/>
        <rFont val="Arial"/>
        <family val="2"/>
      </rPr>
      <t>(3)</t>
    </r>
  </si>
  <si>
    <t>Satellite and Paragon platform</t>
  </si>
  <si>
    <t>Digital InfraCo Operating Expenses Composition</t>
  </si>
  <si>
    <t>Utilities</t>
  </si>
  <si>
    <t>Selling, administrative and property related expenses</t>
  </si>
  <si>
    <t xml:space="preserve">(1) The figures above are before elimination of intercompany transactions with Singtel Singapore and NCS. </t>
  </si>
  <si>
    <t xml:space="preserve">(2) Included recoveries and trade foreign exchange differences.  </t>
  </si>
  <si>
    <t>(3) Included revenue from utilities pass-through.  </t>
  </si>
  <si>
    <t>GROUP ENTERPRISE</t>
  </si>
  <si>
    <r>
      <t>Other income</t>
    </r>
    <r>
      <rPr>
        <vertAlign val="superscript"/>
        <sz val="14"/>
        <color theme="1"/>
        <rFont val="Arial"/>
        <family val="2"/>
      </rPr>
      <t xml:space="preserve"> (2)</t>
    </r>
  </si>
  <si>
    <t>Group Enterprise Operating Revenue Composition</t>
  </si>
  <si>
    <r>
      <t xml:space="preserve">Managed Services </t>
    </r>
    <r>
      <rPr>
        <vertAlign val="superscript"/>
        <sz val="14"/>
        <color theme="1"/>
        <rFont val="Arial"/>
        <family val="2"/>
      </rPr>
      <t>(3)</t>
    </r>
  </si>
  <si>
    <t>Cyber Security</t>
  </si>
  <si>
    <t>ICT</t>
  </si>
  <si>
    <t>ICT revenue as % of total revenue</t>
  </si>
  <si>
    <r>
      <t xml:space="preserve">Data and Internet </t>
    </r>
    <r>
      <rPr>
        <vertAlign val="superscript"/>
        <sz val="14"/>
        <color theme="1"/>
        <rFont val="Arial"/>
        <family val="2"/>
      </rPr>
      <t>(4)</t>
    </r>
  </si>
  <si>
    <r>
      <t xml:space="preserve">Others </t>
    </r>
    <r>
      <rPr>
        <vertAlign val="superscript"/>
        <sz val="14"/>
        <color theme="1"/>
        <rFont val="Arial"/>
        <family val="2"/>
      </rPr>
      <t>(5)</t>
    </r>
  </si>
  <si>
    <t>Carriage</t>
  </si>
  <si>
    <t>Group Enterprise Operating Expenses Composition</t>
  </si>
  <si>
    <r>
      <t xml:space="preserve">Selling and administrative </t>
    </r>
    <r>
      <rPr>
        <vertAlign val="superscript"/>
        <sz val="14"/>
        <color theme="1"/>
        <rFont val="Arial"/>
        <family val="2"/>
      </rPr>
      <t>(6)</t>
    </r>
  </si>
  <si>
    <t>Repair and maintenance and Others</t>
  </si>
  <si>
    <t>(1) The figures above are before elimination of intercompany transactions with NCS and Trustwave.</t>
  </si>
  <si>
    <t xml:space="preserve">(2) Included trade foreign exchange differences, rental income, gain/loss on disposal of scrap copper, property, plant and equipment, and other miscellaneous recoveries. </t>
  </si>
  <si>
    <t xml:space="preserve">     The net trade foreign exchange losses amounted to S$3 million (H2 FY2022: S$1 million) for the second half year and S$5 million (FY2022: S$1 million) for the year ended 31 March 2023.</t>
  </si>
  <si>
    <t xml:space="preserve">(3) Included data centres and colocation services, managed and network services, and value-added reselling and services. </t>
  </si>
  <si>
    <t>(4) Included local leased circuits, international leased circuits, fixed broadband, Singtel Internet exchange and satellite.</t>
  </si>
  <si>
    <t>(5) Included pay TV, facility rentals and other miscellaneous revenue.</t>
  </si>
  <si>
    <t xml:space="preserve">(6) Selling and administrative expenses included utility charges of S$53 million (H2 FY2022: S$38 million) for the second half year and S$107 million (FY2022: $67 million) </t>
  </si>
  <si>
    <t xml:space="preserve">     for the year ended 31 March 2023.</t>
  </si>
  <si>
    <t>Singapore Telecommunications Ltd</t>
  </si>
  <si>
    <t xml:space="preserve">ASSOCIATES </t>
  </si>
  <si>
    <t>Associates pre-tax profit contribution (S$ million)</t>
  </si>
  <si>
    <t>Telkomsel</t>
  </si>
  <si>
    <r>
      <t xml:space="preserve">AIS </t>
    </r>
    <r>
      <rPr>
        <vertAlign val="superscript"/>
        <sz val="14"/>
        <rFont val="Arial"/>
        <family val="2"/>
      </rPr>
      <t>(1)</t>
    </r>
  </si>
  <si>
    <t>Globe</t>
  </si>
  <si>
    <t>PBTL</t>
  </si>
  <si>
    <t>Regional associates subtotal</t>
  </si>
  <si>
    <t xml:space="preserve">Total </t>
  </si>
  <si>
    <t>Associates post-tax profit contribution (S$ million)</t>
  </si>
  <si>
    <t xml:space="preserve">Regional associates subtotal </t>
  </si>
  <si>
    <t>Associates Dividends (S$ million)</t>
  </si>
  <si>
    <t>Total</t>
  </si>
  <si>
    <t>Associates mobile subs ('000)</t>
  </si>
  <si>
    <t>AIS</t>
  </si>
  <si>
    <t>Airtel</t>
  </si>
  <si>
    <t>- India</t>
  </si>
  <si>
    <t>- Africa</t>
  </si>
  <si>
    <t xml:space="preserve">     account for Intouch’s results with effect from 1 April 2025.  </t>
  </si>
  <si>
    <t>Singapore Telecommunications Ltd And Subsidiary Companies</t>
  </si>
  <si>
    <t>SINGAPORE PRODUCT INFORMATION</t>
  </si>
  <si>
    <t xml:space="preserve">Mobile </t>
  </si>
  <si>
    <t>Number of mobile subscribers (000s)</t>
  </si>
  <si>
    <t>- Prepaid</t>
  </si>
  <si>
    <t>- Postpaid</t>
  </si>
  <si>
    <r>
      <rPr>
        <b/>
        <sz val="14"/>
        <color rgb="FF000000"/>
        <rFont val="Arial"/>
        <family val="2"/>
      </rPr>
      <t xml:space="preserve">Mobile ARPU (S$) </t>
    </r>
    <r>
      <rPr>
        <b/>
        <vertAlign val="superscript"/>
        <sz val="14"/>
        <color rgb="FF000000"/>
        <rFont val="Arial"/>
        <family val="2"/>
      </rPr>
      <t>(1)(2)</t>
    </r>
  </si>
  <si>
    <r>
      <rPr>
        <sz val="14"/>
        <color rgb="FF000000"/>
        <rFont val="Arial"/>
        <family val="2"/>
      </rPr>
      <t>Average Revenue per customer per month (ARPU)  (S$ per month)</t>
    </r>
    <r>
      <rPr>
        <vertAlign val="superscript"/>
        <sz val="14"/>
        <color rgb="FF000000"/>
        <rFont val="Arial"/>
        <family val="2"/>
      </rPr>
      <t xml:space="preserve"> (1)(2)</t>
    </r>
  </si>
  <si>
    <t>- Postpaid (pre SFRS(I) 15 basis)</t>
  </si>
  <si>
    <t>- non-SMS data</t>
  </si>
  <si>
    <r>
      <t xml:space="preserve">Data usage (GB per month) </t>
    </r>
    <r>
      <rPr>
        <vertAlign val="superscript"/>
        <sz val="14"/>
        <color rgb="FF000000"/>
        <rFont val="Arial"/>
        <family val="2"/>
      </rPr>
      <t>(3)</t>
    </r>
  </si>
  <si>
    <r>
      <t xml:space="preserve">Postpaid external churn per month </t>
    </r>
    <r>
      <rPr>
        <vertAlign val="superscript"/>
        <sz val="14"/>
        <color rgb="FF000000"/>
        <rFont val="Arial"/>
        <family val="2"/>
      </rPr>
      <t>(4)</t>
    </r>
  </si>
  <si>
    <r>
      <rPr>
        <sz val="14"/>
        <color rgb="FF000000"/>
        <rFont val="Arial"/>
        <family val="2"/>
      </rPr>
      <t>Mobile customer market share</t>
    </r>
    <r>
      <rPr>
        <vertAlign val="superscript"/>
        <sz val="14"/>
        <color rgb="FF000000"/>
        <rFont val="Arial"/>
        <family val="2"/>
      </rPr>
      <t xml:space="preserve"> (5)</t>
    </r>
  </si>
  <si>
    <t>Fixed broadband</t>
  </si>
  <si>
    <t>Fixed Broadband lines ('000)</t>
  </si>
  <si>
    <t>Pay TV</t>
  </si>
  <si>
    <t xml:space="preserve">Average revenue per residential TV customer per month (S$ per month) </t>
  </si>
  <si>
    <t>(1) Based on average number of subscribers, calculated as the simple average of opening and closing number of subscribers.</t>
  </si>
  <si>
    <t>(3) Data usage of postpaid smartphone customers and excludes wholesale.</t>
  </si>
  <si>
    <t xml:space="preserve">(4) Calculated by expressing the number of postpaid subscribers who deactivate or disconnect their service (both voluntary and the Company’s initiated churn) as a </t>
  </si>
  <si>
    <t xml:space="preserve">     percentage of average number of subscribers.</t>
  </si>
  <si>
    <t>OPTUS PRODUCT INFORMATION</t>
  </si>
  <si>
    <t>Optus Mobile Revenue (A$m)</t>
  </si>
  <si>
    <t>Optus Mobile Service Revenue (A$m)</t>
  </si>
  <si>
    <r>
      <t xml:space="preserve">Prepaid </t>
    </r>
    <r>
      <rPr>
        <vertAlign val="superscript"/>
        <sz val="14"/>
        <rFont val="Arial"/>
        <family val="2"/>
      </rPr>
      <t>(1)</t>
    </r>
  </si>
  <si>
    <r>
      <t xml:space="preserve">Connected Devices </t>
    </r>
    <r>
      <rPr>
        <vertAlign val="superscript"/>
        <sz val="14"/>
        <rFont val="Arial"/>
        <family val="2"/>
      </rPr>
      <t>(2)</t>
    </r>
  </si>
  <si>
    <t>Postpaid</t>
  </si>
  <si>
    <t xml:space="preserve">Blended </t>
  </si>
  <si>
    <r>
      <t>Data Usage (GB per month)</t>
    </r>
    <r>
      <rPr>
        <b/>
        <vertAlign val="superscript"/>
        <sz val="14"/>
        <rFont val="Arial"/>
        <family val="2"/>
      </rPr>
      <t xml:space="preserve"> (5)</t>
    </r>
  </si>
  <si>
    <r>
      <t>Mobile Customer Market Share</t>
    </r>
    <r>
      <rPr>
        <b/>
        <vertAlign val="superscript"/>
        <sz val="14"/>
        <rFont val="Arial"/>
        <family val="2"/>
      </rPr>
      <t xml:space="preserve"> (6)</t>
    </r>
  </si>
  <si>
    <r>
      <t>Retail Postpaid Churn Rate per Month</t>
    </r>
    <r>
      <rPr>
        <b/>
        <vertAlign val="superscript"/>
        <sz val="14"/>
        <rFont val="Arial"/>
        <family val="2"/>
      </rPr>
      <t xml:space="preserve"> (7)</t>
    </r>
  </si>
  <si>
    <t>Blended home ARPU (A$)</t>
  </si>
  <si>
    <r>
      <t xml:space="preserve">Home Customers (000s) </t>
    </r>
    <r>
      <rPr>
        <b/>
        <vertAlign val="superscript"/>
        <sz val="14"/>
        <rFont val="Arial"/>
        <family val="2"/>
      </rPr>
      <t>(8)</t>
    </r>
  </si>
  <si>
    <t>NBN</t>
  </si>
  <si>
    <t>Fixed Wireless Access (FWA)</t>
  </si>
  <si>
    <t>(1) Comparatives have been restated for the acquisition of Circles.Life customers.</t>
  </si>
  <si>
    <t>(2) Defined as data-only SIMs and included customers on both prepaid and postpaid plans.</t>
  </si>
  <si>
    <t>(3) Based on average number of customers, calculated as the simple average of opening and closing number of customers.</t>
  </si>
  <si>
    <t>(4) Excludes Wholesale MVNOs.</t>
  </si>
  <si>
    <t>(5) Based on postpaid handset monthly usage and includes Wholesale and amaysim.</t>
  </si>
  <si>
    <t>(6) Based on latest available market share either as at the end of June or December</t>
  </si>
  <si>
    <t>(7) Churn calculation excluded customers transferred from postpaid to prepaid.</t>
  </si>
  <si>
    <t>(8) Referred to retail customers who took up broadband (including fixed/4G/5G Internet) and/or voice.  </t>
  </si>
  <si>
    <t>GROUP</t>
  </si>
  <si>
    <t>Balance Sheet</t>
  </si>
  <si>
    <t>Current assets (excluding cash)</t>
  </si>
  <si>
    <r>
      <t xml:space="preserve">Cash and cash equivalents </t>
    </r>
    <r>
      <rPr>
        <vertAlign val="superscript"/>
        <sz val="14"/>
        <rFont val="Arial"/>
        <family val="2"/>
      </rPr>
      <t>(1)</t>
    </r>
  </si>
  <si>
    <t>Non-current assets</t>
  </si>
  <si>
    <t>Total assets</t>
  </si>
  <si>
    <t>Current liabilities</t>
  </si>
  <si>
    <t>Non-current liabilities</t>
  </si>
  <si>
    <t>Total liabilities</t>
  </si>
  <si>
    <t>Net assets</t>
  </si>
  <si>
    <t>Share capital</t>
  </si>
  <si>
    <t>Retained earnings</t>
  </si>
  <si>
    <t>Currency translation reserve (loss)</t>
  </si>
  <si>
    <t>Other reserves</t>
  </si>
  <si>
    <t>Equity attributable to shareholders</t>
  </si>
  <si>
    <t>Perpetual securities</t>
  </si>
  <si>
    <t>Minority interest</t>
  </si>
  <si>
    <t>Total equity</t>
  </si>
  <si>
    <t>`</t>
  </si>
  <si>
    <t>NBN migration and site preparation revenues</t>
  </si>
  <si>
    <t>-</t>
  </si>
  <si>
    <t xml:space="preserve">                   -</t>
  </si>
  <si>
    <t xml:space="preserve">                     -</t>
  </si>
  <si>
    <t xml:space="preserve">Mobile customers (000s) </t>
  </si>
  <si>
    <r>
      <t>Mobile ARPUs (A$)</t>
    </r>
    <r>
      <rPr>
        <b/>
        <vertAlign val="superscript"/>
        <sz val="14"/>
        <rFont val="Arial"/>
        <family val="2"/>
      </rPr>
      <t xml:space="preserve"> (3)</t>
    </r>
  </si>
  <si>
    <r>
      <t>Branded Postpaid</t>
    </r>
    <r>
      <rPr>
        <vertAlign val="superscript"/>
        <sz val="14"/>
        <rFont val="Arial"/>
        <family val="2"/>
      </rPr>
      <t xml:space="preserve"> (4)</t>
    </r>
  </si>
  <si>
    <r>
      <t xml:space="preserve">Share of associates' pre-tax losses </t>
    </r>
    <r>
      <rPr>
        <vertAlign val="superscript"/>
        <sz val="14"/>
        <color theme="1"/>
        <rFont val="Arial"/>
        <family val="2"/>
      </rPr>
      <t>(4)</t>
    </r>
  </si>
  <si>
    <r>
      <t xml:space="preserve">Share of associates' post-tax losses </t>
    </r>
    <r>
      <rPr>
        <vertAlign val="superscript"/>
        <sz val="14"/>
        <color theme="1"/>
        <rFont val="Arial"/>
        <family val="2"/>
      </rPr>
      <t>(4)</t>
    </r>
  </si>
  <si>
    <r>
      <t xml:space="preserve">Globe </t>
    </r>
    <r>
      <rPr>
        <vertAlign val="superscript"/>
        <sz val="14"/>
        <rFont val="Arial"/>
        <family val="2"/>
      </rPr>
      <t>(3)</t>
    </r>
  </si>
  <si>
    <r>
      <t xml:space="preserve">Intouch </t>
    </r>
    <r>
      <rPr>
        <vertAlign val="superscript"/>
        <sz val="14"/>
        <rFont val="Arial"/>
        <family val="2"/>
      </rPr>
      <t>(4)</t>
    </r>
  </si>
  <si>
    <t xml:space="preserve">(4) On 1 April 2025, Intouch was merged to form Gulf Development Public Company Limited. Consequently, Singtel ceased to equity </t>
  </si>
  <si>
    <t>* denotes less than +/- S$0.5 million</t>
  </si>
  <si>
    <t>(5) The mobile customer market share data as at 31 March 2026 was based on management’s estimates.</t>
  </si>
  <si>
    <t xml:space="preserve">(1) As at 31 March 2026, Singtel holds an equity interest of 24.8% (31 March 2025: 23.3%) in AIS. </t>
  </si>
  <si>
    <t xml:space="preserve">(3) Includes amortisation of acquired intangibles of S$7 million (H2 FY2025: S$6 million) for the second half year and S$13 million (FY2025: S$13 million) for the year ended 31 March 2026. </t>
  </si>
  <si>
    <t xml:space="preserve">      (a)   Public service, Defence and Homeland Security;</t>
  </si>
  <si>
    <r>
      <t xml:space="preserve">      (b)</t>
    </r>
    <r>
      <rPr>
        <sz val="14"/>
        <color rgb="FF000000"/>
        <rFont val="Arial"/>
        <family val="2"/>
      </rPr>
      <t>   Healthcare, Transport, Financial, Industrial and Commercial sectors; and</t>
    </r>
  </si>
  <si>
    <t xml:space="preserve">       Platforms (Gen AI, IoT, robotics automation, video intelligence) and Cyber. </t>
  </si>
  <si>
    <r>
      <t>Selling and administrative</t>
    </r>
    <r>
      <rPr>
        <vertAlign val="superscript"/>
        <sz val="14"/>
        <rFont val="Arial"/>
        <family val="2"/>
      </rPr>
      <t xml:space="preserve"> (8)</t>
    </r>
  </si>
  <si>
    <t xml:space="preserve">(8) Includes utility charges of S$3 million (H2 FY2025: S$3 million) for the second half year and S$6 million (FY2025: S$6 million) for the year ended 31 March 2026. </t>
  </si>
  <si>
    <t xml:space="preserve">    The net trade foreign exchange loss amounted to S$0.7 million (H2 FY2025: S$5 million of gain) for the second half year and S$0.6 million gain (FY2025: S$3 million of gain) for the year ended 31 March 2026. </t>
  </si>
  <si>
    <t xml:space="preserve">(3) Included revenues from home equipment sales, local leased circuits, fixed broadband and Singtel Internet exchange. </t>
  </si>
  <si>
    <t>(4) Included revenues from managed services, data centres and facility rentals.</t>
  </si>
  <si>
    <t>(6) Included revenues from mobile network cabling works, submarine cable landing fees, stub sales and facility charges</t>
  </si>
  <si>
    <t xml:space="preserve">(7) Selling and administrative expenses included utility charges of S$36 million (H2 FY2025: S$38 million) for the second half year and S$64 million (FY2025: S$79 million) for the year ended 31 March 2026. </t>
  </si>
  <si>
    <r>
      <t xml:space="preserve">Selling and administrative </t>
    </r>
    <r>
      <rPr>
        <vertAlign val="superscript"/>
        <sz val="14"/>
        <rFont val="Arial"/>
        <family val="2"/>
      </rPr>
      <t>(7)</t>
    </r>
  </si>
  <si>
    <t>(2) As at 31 March 2026, Singtel holds an equity interest of 49.4% (31 March 2025: 49.4%) in BTL and an effective equity interest </t>
  </si>
  <si>
    <r>
      <t xml:space="preserve">Others </t>
    </r>
    <r>
      <rPr>
        <vertAlign val="superscript"/>
        <sz val="14"/>
        <rFont val="Arial"/>
        <family val="2"/>
      </rPr>
      <t>(1)</t>
    </r>
  </si>
  <si>
    <r>
      <t xml:space="preserve">Others </t>
    </r>
    <r>
      <rPr>
        <vertAlign val="superscript"/>
        <sz val="14"/>
        <rFont val="Arial"/>
        <family val="2"/>
      </rPr>
      <t>(2)</t>
    </r>
  </si>
  <si>
    <t xml:space="preserve">(1) The above results are based on the standalone results of NCS group, which includes revenue earned as a vendor to other entities in the Singtel Group. </t>
  </si>
  <si>
    <t xml:space="preserve">      Singtel28’ bonus of S$9 million paid to NCS employees was charged under Singtel’s corporate costs for the second half year and year ended 31 March 2026.</t>
  </si>
  <si>
    <t xml:space="preserve">      The net trade foreign exchange gain amounted to S$0.2 million (H2 FY2025: S$2 million of loss) for the second half year. For the year ended 31 March 2026,  </t>
  </si>
  <si>
    <t>RE:AI</t>
  </si>
  <si>
    <t xml:space="preserve">Operating revenue </t>
  </si>
  <si>
    <t>(5) Included fit-out works for DC Tuas which were charged to customers.</t>
  </si>
  <si>
    <r>
      <t xml:space="preserve">Others </t>
    </r>
    <r>
      <rPr>
        <vertAlign val="superscript"/>
        <sz val="14"/>
        <color rgb="FF000000"/>
        <rFont val="Arial"/>
        <family val="2"/>
      </rPr>
      <t>(5)</t>
    </r>
  </si>
  <si>
    <t xml:space="preserve">      Transactions between units within Digital InfraCo are conducted at arm’s length. The financials are presented </t>
  </si>
  <si>
    <t xml:space="preserve">      on a pre-elimination basis, and these transactions do not impact EBITDA and EBIT.</t>
  </si>
  <si>
    <t>(4) The associates incurred losses as they are currently in the pre-operational or early operation phase.</t>
  </si>
  <si>
    <t>(3) Share of results excluded the Group’s share of the associates’ one-off items which have been classified as exceptional items of the Group.</t>
  </si>
  <si>
    <r>
      <t xml:space="preserve">Airtel </t>
    </r>
    <r>
      <rPr>
        <vertAlign val="superscript"/>
        <sz val="14"/>
        <rFont val="Arial"/>
        <family val="2"/>
      </rPr>
      <t>(2)(3)</t>
    </r>
  </si>
  <si>
    <t xml:space="preserve">     of 27.5% (31 March 2025: 29.4%) in Airtel.</t>
  </si>
  <si>
    <t>(2) Average Revenue Per User (ARPU) includes revenue earned from international telephone calls and excludes wholesale customers. For prepaid, ARPU is computed net of sales discounts.</t>
  </si>
  <si>
    <r>
      <t xml:space="preserve">Traffic expenses </t>
    </r>
    <r>
      <rPr>
        <vertAlign val="superscript"/>
        <sz val="14"/>
        <rFont val="Arial"/>
        <family val="2"/>
      </rPr>
      <t>(2)</t>
    </r>
  </si>
  <si>
    <r>
      <t xml:space="preserve">Selling and administrative </t>
    </r>
    <r>
      <rPr>
        <vertAlign val="superscript"/>
        <sz val="14"/>
        <color rgb="FF000000"/>
        <rFont val="Arial"/>
        <family val="2"/>
      </rPr>
      <t>(1)(3)</t>
    </r>
  </si>
  <si>
    <t>(3) Selling and administrative expenses included utility charges of S$141 million (H2 FY2025: S$146 million) for the second half and S$263 million (FY2025: S$300 million) for the year ended 31 March 2026.</t>
  </si>
  <si>
    <r>
      <t>Digital, Data, Cloud, Platforms &amp; Cyber as % of total operating revenue</t>
    </r>
    <r>
      <rPr>
        <b/>
        <vertAlign val="superscript"/>
        <sz val="14"/>
        <color theme="1"/>
        <rFont val="Arial"/>
        <family val="2"/>
      </rPr>
      <t xml:space="preserve"> (6)</t>
    </r>
  </si>
  <si>
    <t xml:space="preserve">      other income included a one-off credit from a subcontractor as well as net trade foreign exchange gain of S$3 million (FY2025: S$0.3 million of gain).</t>
  </si>
  <si>
    <t xml:space="preserve">      (c)   Communications, Media and Technology sectors, respectively.</t>
  </si>
  <si>
    <t>na</t>
  </si>
  <si>
    <t>Prepaid</t>
  </si>
  <si>
    <t>(1) Comprised cash and bank balances, and fixed deposits with original maturity of three months or less.</t>
  </si>
  <si>
    <r>
      <t>Selling and administrative</t>
    </r>
    <r>
      <rPr>
        <vertAlign val="superscript"/>
        <sz val="14"/>
        <rFont val="Arial"/>
        <family val="2"/>
      </rPr>
      <t xml:space="preserve"> (2) (3)</t>
    </r>
  </si>
  <si>
    <t xml:space="preserve">     and A$136 million (FY2025: A$142 million) for the year ended 31 March 2026.</t>
  </si>
  <si>
    <r>
      <t>(3)</t>
    </r>
    <r>
      <rPr>
        <sz val="14"/>
        <rFont val="Times New Roman"/>
        <family val="1"/>
      </rPr>
      <t> </t>
    </r>
    <r>
      <rPr>
        <sz val="14"/>
        <rFont val="Arial"/>
        <family val="2"/>
      </rPr>
      <t>Selling and Administrative expenses included utility charges of A$69 million (H2 FY2025: A$71 million) for the second half year</t>
    </r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</si>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</sst>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_);_(@_)"/>
    <numFmt numFmtId="168" formatCode="_-* #,##0.0_-;\-* #,##0.0_-;_-* &quot;-&quot;??_-;_-@_-"/>
    <numFmt numFmtId="169" formatCode="_(* #,##0.0_);_(* \(#,##0.0\);_(* &quot;-&quot;_);_(@_)"/>
    <numFmt numFmtId="170" formatCode="_(* #,##0_);_(* \(#,##0\);_(* &quot;-&quot;??_);_(@_)"/>
    <numFmt numFmtId="171" formatCode="0.000"/>
    <numFmt numFmtId="172" formatCode="0.0%"/>
    <numFmt numFmtId="173" formatCode="_(* #,##0.0_);_(* \(#,##0.0\);_(* &quot;-&quot;??_);_(@_)"/>
    <numFmt numFmtId="174" formatCode="0.0"/>
    <numFmt numFmtId="175" formatCode="_(* #,##0.000_);_(* \(#,##0.000\);_(* &quot;-&quot;??_);_(@_)"/>
    <numFmt numFmtId="176" formatCode="_-* #,##0.0_-;\-* #,##0.0_-;_-* &quot;-&quot;?_-;_-@_-"/>
    <numFmt numFmtId="177" formatCode="_([$€-2]* #,##0.00_);_([$€-2]* \(#,##0.00\);_([$€-2]* &quot;-&quot;??_)"/>
    <numFmt numFmtId="178" formatCode="[$SGD]\ #,##0.00000"/>
    <numFmt numFmtId="179" formatCode="###,000"/>
    <numFmt numFmtId="180" formatCode="_-* #,##0_-;\-* #,##0_-;_-* &quot;-&quot;??_-;_-@_-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SWISS"/>
    </font>
    <font>
      <sz val="13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vertAlign val="superscript"/>
      <sz val="14"/>
      <name val="Arial"/>
      <family val="2"/>
    </font>
    <font>
      <u/>
      <sz val="14"/>
      <name val="Arial"/>
      <family val="2"/>
    </font>
    <font>
      <b/>
      <vertAlign val="superscript"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3"/>
      <color rgb="FFFF000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i/>
      <u/>
      <sz val="14"/>
      <name val="Arial"/>
      <family val="2"/>
    </font>
    <font>
      <i/>
      <sz val="13"/>
      <name val="Arial"/>
      <family val="2"/>
    </font>
    <font>
      <i/>
      <u/>
      <sz val="14"/>
      <name val="Arial"/>
      <family val="2"/>
    </font>
    <font>
      <b/>
      <i/>
      <u/>
      <sz val="14"/>
      <color rgb="FFFF0000"/>
      <name val="Arial"/>
      <family val="2"/>
    </font>
    <font>
      <i/>
      <sz val="14"/>
      <color theme="1"/>
      <name val="Arial"/>
      <family val="2"/>
    </font>
    <font>
      <b/>
      <i/>
      <sz val="13"/>
      <color rgb="FFFF0000"/>
      <name val="Arial"/>
      <family val="2"/>
    </font>
    <font>
      <b/>
      <i/>
      <sz val="13"/>
      <name val="Arial"/>
      <family val="2"/>
    </font>
    <font>
      <vertAlign val="superscript"/>
      <sz val="14"/>
      <color theme="1"/>
      <name val="Arial"/>
      <family val="2"/>
    </font>
    <font>
      <b/>
      <sz val="14"/>
      <color theme="0"/>
      <name val="Arial"/>
      <family val="2"/>
    </font>
    <font>
      <i/>
      <vertAlign val="superscript"/>
      <sz val="14"/>
      <color theme="1"/>
      <name val="Arial"/>
      <family val="2"/>
    </font>
    <font>
      <i/>
      <sz val="9"/>
      <name val="Arial"/>
      <family val="2"/>
    </font>
    <font>
      <b/>
      <u/>
      <vertAlign val="superscript"/>
      <sz val="14"/>
      <name val="Arial"/>
      <family val="2"/>
    </font>
    <font>
      <sz val="11"/>
      <name val="Calibri"/>
      <family val="2"/>
      <scheme val="minor"/>
    </font>
    <font>
      <sz val="10"/>
      <name val="Helv"/>
      <family val="2"/>
    </font>
    <font>
      <sz val="9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4"/>
      <color rgb="FF000000"/>
      <name val="Arial"/>
      <family val="2"/>
    </font>
    <font>
      <b/>
      <u/>
      <sz val="13"/>
      <name val="Arial"/>
      <family val="2"/>
    </font>
    <font>
      <vertAlign val="superscript"/>
      <sz val="14"/>
      <color rgb="FF000000"/>
      <name val="Arial"/>
      <family val="2"/>
    </font>
    <font>
      <b/>
      <sz val="14"/>
      <color rgb="FF000000"/>
      <name val="Arial"/>
      <family val="2"/>
    </font>
    <font>
      <i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sz val="14"/>
      <name val="Times New Roman"/>
      <family val="1"/>
    </font>
    <font>
      <b/>
      <sz val="14"/>
      <color rgb="FF0000FF"/>
      <name val="Arial"/>
      <family val="2"/>
    </font>
    <font>
      <b/>
      <u/>
      <sz val="14"/>
      <color rgb="FF000000"/>
      <name val="Arial"/>
      <family val="2"/>
    </font>
    <font>
      <b/>
      <u/>
      <vertAlign val="superscript"/>
      <sz val="14"/>
      <color rgb="FF000000"/>
      <name val="Arial"/>
      <family val="2"/>
    </font>
    <font>
      <b/>
      <i/>
      <sz val="14"/>
      <name val="Arial"/>
      <family val="2"/>
    </font>
    <font>
      <b/>
      <u/>
      <sz val="14"/>
      <color theme="1"/>
      <name val="Arial"/>
      <family val="2"/>
    </font>
    <font>
      <sz val="14"/>
      <color rgb="FF000000"/>
      <name val="Arial"/>
      <family val="2"/>
    </font>
    <font>
      <b/>
      <vertAlign val="superscript"/>
      <sz val="14"/>
      <color theme="1"/>
      <name val="Arial"/>
      <family val="2"/>
    </font>
    <font>
      <sz val="1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CCC0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92">
    <xf numFmtId="0" fontId="0" fillId="0" borderId="0"/>
    <xf numFmtId="0" fontId="19" fillId="2" borderId="0" applyNumberFormat="0" applyBorder="0" applyAlignment="0" applyProtection="0"/>
    <xf numFmtId="0" fontId="12" fillId="2" borderId="0" applyNumberFormat="0" applyBorder="0" applyAlignment="0" applyProtection="0"/>
    <xf numFmtId="0" fontId="19" fillId="3" borderId="0" applyNumberFormat="0" applyBorder="0" applyAlignment="0" applyProtection="0"/>
    <xf numFmtId="0" fontId="12" fillId="3" borderId="0" applyNumberFormat="0" applyBorder="0" applyAlignment="0" applyProtection="0"/>
    <xf numFmtId="0" fontId="19" fillId="4" borderId="0" applyNumberFormat="0" applyBorder="0" applyAlignment="0" applyProtection="0"/>
    <xf numFmtId="0" fontId="12" fillId="4" borderId="0" applyNumberFormat="0" applyBorder="0" applyAlignment="0" applyProtection="0"/>
    <xf numFmtId="0" fontId="19" fillId="5" borderId="0" applyNumberFormat="0" applyBorder="0" applyAlignment="0" applyProtection="0"/>
    <xf numFmtId="0" fontId="12" fillId="5" borderId="0" applyNumberFormat="0" applyBorder="0" applyAlignment="0" applyProtection="0"/>
    <xf numFmtId="0" fontId="19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7" borderId="0" applyNumberFormat="0" applyBorder="0" applyAlignment="0" applyProtection="0"/>
    <xf numFmtId="0" fontId="12" fillId="7" borderId="0" applyNumberFormat="0" applyBorder="0" applyAlignment="0" applyProtection="0"/>
    <xf numFmtId="0" fontId="19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9" borderId="0" applyNumberFormat="0" applyBorder="0" applyAlignment="0" applyProtection="0"/>
    <xf numFmtId="0" fontId="12" fillId="9" borderId="0" applyNumberFormat="0" applyBorder="0" applyAlignment="0" applyProtection="0"/>
    <xf numFmtId="0" fontId="19" fillId="10" borderId="0" applyNumberFormat="0" applyBorder="0" applyAlignment="0" applyProtection="0"/>
    <xf numFmtId="0" fontId="12" fillId="10" borderId="0" applyNumberFormat="0" applyBorder="0" applyAlignment="0" applyProtection="0"/>
    <xf numFmtId="0" fontId="19" fillId="5" borderId="0" applyNumberFormat="0" applyBorder="0" applyAlignment="0" applyProtection="0"/>
    <xf numFmtId="0" fontId="12" fillId="5" borderId="0" applyNumberFormat="0" applyBorder="0" applyAlignment="0" applyProtection="0"/>
    <xf numFmtId="0" fontId="19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11" borderId="0" applyNumberFormat="0" applyBorder="0" applyAlignment="0" applyProtection="0"/>
    <xf numFmtId="0" fontId="1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166" fontId="1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13" fillId="0" borderId="0"/>
    <xf numFmtId="0" fontId="15" fillId="0" borderId="0"/>
    <xf numFmtId="0" fontId="13" fillId="23" borderId="7" applyNumberFormat="0" applyFont="0" applyAlignment="0" applyProtection="0"/>
    <xf numFmtId="0" fontId="37" fillId="23" borderId="7" applyNumberFormat="0" applyFont="0" applyAlignment="0" applyProtection="0"/>
    <xf numFmtId="0" fontId="13" fillId="23" borderId="7" applyNumberFormat="0" applyFont="0" applyAlignment="0" applyProtection="0"/>
    <xf numFmtId="0" fontId="32" fillId="20" borderId="8" applyNumberForma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8" fillId="0" borderId="0"/>
    <xf numFmtId="0" fontId="12" fillId="0" borderId="0"/>
    <xf numFmtId="0" fontId="13" fillId="0" borderId="0" applyNumberFormat="0" applyFill="0" applyBorder="0" applyAlignment="0" applyProtection="0"/>
    <xf numFmtId="177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0" fontId="67" fillId="0" borderId="0"/>
    <xf numFmtId="0" fontId="13" fillId="0" borderId="0" applyNumberFormat="0" applyFont="0" applyFill="0" applyBorder="0" applyAlignment="0" applyProtection="0"/>
    <xf numFmtId="177" fontId="12" fillId="0" borderId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8" fillId="0" borderId="0"/>
    <xf numFmtId="43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0" fillId="29" borderId="36" applyNumberFormat="0" applyAlignment="0" applyProtection="0">
      <alignment horizontal="left" vertical="center" indent="1"/>
    </xf>
    <xf numFmtId="179" fontId="71" fillId="0" borderId="37" applyNumberFormat="0" applyProtection="0">
      <alignment horizontal="right" vertical="center"/>
    </xf>
    <xf numFmtId="179" fontId="70" fillId="0" borderId="38" applyNumberFormat="0" applyProtection="0">
      <alignment horizontal="right" vertical="center"/>
    </xf>
    <xf numFmtId="179" fontId="71" fillId="30" borderId="36" applyNumberFormat="0" applyAlignment="0" applyProtection="0">
      <alignment horizontal="left" vertical="center" indent="1"/>
    </xf>
    <xf numFmtId="0" fontId="72" fillId="31" borderId="38" applyNumberFormat="0" applyAlignment="0">
      <alignment horizontal="left" vertical="center" indent="1"/>
      <protection locked="0"/>
    </xf>
    <xf numFmtId="0" fontId="72" fillId="32" borderId="38" applyNumberFormat="0" applyAlignment="0" applyProtection="0">
      <alignment horizontal="left" vertical="center" indent="1"/>
    </xf>
    <xf numFmtId="179" fontId="71" fillId="33" borderId="37" applyNumberFormat="0" applyBorder="0">
      <alignment horizontal="right" vertical="center"/>
      <protection locked="0"/>
    </xf>
    <xf numFmtId="0" fontId="72" fillId="31" borderId="38" applyNumberFormat="0" applyAlignment="0">
      <alignment horizontal="left" vertical="center" indent="1"/>
      <protection locked="0"/>
    </xf>
    <xf numFmtId="179" fontId="70" fillId="32" borderId="38" applyNumberFormat="0" applyProtection="0">
      <alignment horizontal="right" vertical="center"/>
    </xf>
    <xf numFmtId="179" fontId="70" fillId="33" borderId="38" applyNumberFormat="0" applyBorder="0">
      <alignment horizontal="right" vertical="center"/>
      <protection locked="0"/>
    </xf>
    <xf numFmtId="179" fontId="73" fillId="34" borderId="39" applyNumberFormat="0" applyBorder="0" applyAlignment="0" applyProtection="0">
      <alignment horizontal="right" vertical="center" indent="1"/>
    </xf>
    <xf numFmtId="179" fontId="74" fillId="35" borderId="39" applyNumberFormat="0" applyBorder="0" applyAlignment="0" applyProtection="0">
      <alignment horizontal="right" vertical="center" indent="1"/>
    </xf>
    <xf numFmtId="179" fontId="74" fillId="36" borderId="39" applyNumberFormat="0" applyBorder="0" applyAlignment="0" applyProtection="0">
      <alignment horizontal="right" vertical="center" indent="1"/>
    </xf>
    <xf numFmtId="179" fontId="75" fillId="37" borderId="39" applyNumberFormat="0" applyBorder="0" applyAlignment="0" applyProtection="0">
      <alignment horizontal="right" vertical="center" indent="1"/>
    </xf>
    <xf numFmtId="179" fontId="75" fillId="38" borderId="39" applyNumberFormat="0" applyBorder="0" applyAlignment="0" applyProtection="0">
      <alignment horizontal="right" vertical="center" indent="1"/>
    </xf>
    <xf numFmtId="179" fontId="75" fillId="39" borderId="39" applyNumberFormat="0" applyBorder="0" applyAlignment="0" applyProtection="0">
      <alignment horizontal="right" vertical="center" indent="1"/>
    </xf>
    <xf numFmtId="179" fontId="76" fillId="40" borderId="39" applyNumberFormat="0" applyBorder="0" applyAlignment="0" applyProtection="0">
      <alignment horizontal="right" vertical="center" indent="1"/>
    </xf>
    <xf numFmtId="179" fontId="76" fillId="41" borderId="39" applyNumberFormat="0" applyBorder="0" applyAlignment="0" applyProtection="0">
      <alignment horizontal="right" vertical="center" indent="1"/>
    </xf>
    <xf numFmtId="179" fontId="76" fillId="42" borderId="39" applyNumberFormat="0" applyBorder="0" applyAlignment="0" applyProtection="0">
      <alignment horizontal="right" vertical="center" indent="1"/>
    </xf>
    <xf numFmtId="0" fontId="77" fillId="0" borderId="36" applyNumberFormat="0" applyFont="0" applyFill="0" applyAlignment="0" applyProtection="0"/>
    <xf numFmtId="179" fontId="78" fillId="30" borderId="0" applyNumberFormat="0" applyAlignment="0" applyProtection="0">
      <alignment horizontal="left" vertical="center" indent="1"/>
    </xf>
    <xf numFmtId="0" fontId="77" fillId="0" borderId="40" applyNumberFormat="0" applyFont="0" applyFill="0" applyAlignment="0" applyProtection="0"/>
    <xf numFmtId="179" fontId="71" fillId="0" borderId="37" applyNumberFormat="0" applyFill="0" applyBorder="0" applyAlignment="0" applyProtection="0">
      <alignment horizontal="right" vertical="center"/>
    </xf>
    <xf numFmtId="179" fontId="71" fillId="30" borderId="36" applyNumberFormat="0" applyAlignment="0" applyProtection="0">
      <alignment horizontal="left" vertical="center" indent="1"/>
    </xf>
    <xf numFmtId="0" fontId="70" fillId="29" borderId="38" applyNumberFormat="0" applyAlignment="0" applyProtection="0">
      <alignment horizontal="left" vertical="center" indent="1"/>
    </xf>
    <xf numFmtId="0" fontId="72" fillId="43" borderId="36" applyNumberFormat="0" applyAlignment="0" applyProtection="0">
      <alignment horizontal="left" vertical="center" indent="1"/>
    </xf>
    <xf numFmtId="0" fontId="72" fillId="44" borderId="36" applyNumberFormat="0" applyAlignment="0" applyProtection="0">
      <alignment horizontal="left" vertical="center" indent="1"/>
    </xf>
    <xf numFmtId="0" fontId="72" fillId="45" borderId="36" applyNumberFormat="0" applyAlignment="0" applyProtection="0">
      <alignment horizontal="left" vertical="center" indent="1"/>
    </xf>
    <xf numFmtId="0" fontId="72" fillId="33" borderId="36" applyNumberFormat="0" applyAlignment="0" applyProtection="0">
      <alignment horizontal="left" vertical="center" indent="1"/>
    </xf>
    <xf numFmtId="0" fontId="72" fillId="32" borderId="38" applyNumberFormat="0" applyAlignment="0" applyProtection="0">
      <alignment horizontal="left" vertical="center" indent="1"/>
    </xf>
    <xf numFmtId="0" fontId="79" fillId="0" borderId="41" applyNumberFormat="0" applyFill="0" applyBorder="0" applyAlignment="0" applyProtection="0"/>
    <xf numFmtId="0" fontId="80" fillId="0" borderId="41" applyNumberFormat="0" applyBorder="0" applyAlignment="0" applyProtection="0"/>
    <xf numFmtId="0" fontId="79" fillId="31" borderId="38" applyNumberFormat="0" applyAlignment="0">
      <alignment horizontal="left" vertical="center" indent="1"/>
      <protection locked="0"/>
    </xf>
    <xf numFmtId="0" fontId="79" fillId="31" borderId="38" applyNumberFormat="0" applyAlignment="0">
      <alignment horizontal="left" vertical="center" indent="1"/>
      <protection locked="0"/>
    </xf>
    <xf numFmtId="0" fontId="79" fillId="32" borderId="38" applyNumberFormat="0" applyAlignment="0" applyProtection="0">
      <alignment horizontal="left" vertical="center" indent="1"/>
    </xf>
    <xf numFmtId="179" fontId="81" fillId="32" borderId="38" applyNumberFormat="0" applyProtection="0">
      <alignment horizontal="right" vertical="center"/>
    </xf>
    <xf numFmtId="179" fontId="82" fillId="33" borderId="37" applyNumberFormat="0" applyBorder="0">
      <alignment horizontal="right" vertical="center"/>
      <protection locked="0"/>
    </xf>
    <xf numFmtId="179" fontId="81" fillId="33" borderId="38" applyNumberFormat="0" applyBorder="0">
      <alignment horizontal="right" vertical="center"/>
      <protection locked="0"/>
    </xf>
    <xf numFmtId="179" fontId="71" fillId="0" borderId="37" applyNumberFormat="0" applyFill="0" applyBorder="0" applyAlignment="0" applyProtection="0">
      <alignment horizontal="right"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16">
    <xf numFmtId="0" fontId="0" fillId="0" borderId="0" xfId="0"/>
    <xf numFmtId="0" fontId="14" fillId="24" borderId="0" xfId="61" applyFont="1" applyFill="1"/>
    <xf numFmtId="0" fontId="16" fillId="24" borderId="0" xfId="61" applyFont="1" applyFill="1"/>
    <xf numFmtId="0" fontId="18" fillId="24" borderId="0" xfId="61" applyFont="1" applyFill="1"/>
    <xf numFmtId="0" fontId="16" fillId="25" borderId="0" xfId="61" applyFont="1" applyFill="1"/>
    <xf numFmtId="0" fontId="16" fillId="25" borderId="10" xfId="61" applyFont="1" applyFill="1" applyBorder="1"/>
    <xf numFmtId="0" fontId="18" fillId="25" borderId="10" xfId="61" applyFont="1" applyFill="1" applyBorder="1"/>
    <xf numFmtId="0" fontId="17" fillId="24" borderId="0" xfId="61" applyFont="1" applyFill="1"/>
    <xf numFmtId="0" fontId="18" fillId="25" borderId="0" xfId="61" applyFont="1" applyFill="1"/>
    <xf numFmtId="0" fontId="41" fillId="24" borderId="11" xfId="61" applyFont="1" applyFill="1" applyBorder="1"/>
    <xf numFmtId="0" fontId="40" fillId="24" borderId="0" xfId="61" applyFont="1" applyFill="1"/>
    <xf numFmtId="0" fontId="40" fillId="24" borderId="12" xfId="61" applyFont="1" applyFill="1" applyBorder="1"/>
    <xf numFmtId="0" fontId="40" fillId="24" borderId="10" xfId="61" applyFont="1" applyFill="1" applyBorder="1"/>
    <xf numFmtId="0" fontId="17" fillId="25" borderId="0" xfId="61" applyFont="1" applyFill="1"/>
    <xf numFmtId="0" fontId="43" fillId="24" borderId="11" xfId="61" applyFont="1" applyFill="1" applyBorder="1"/>
    <xf numFmtId="164" fontId="17" fillId="25" borderId="14" xfId="40" applyNumberFormat="1" applyFont="1" applyFill="1" applyBorder="1"/>
    <xf numFmtId="0" fontId="41" fillId="24" borderId="11" xfId="61" applyFont="1" applyFill="1" applyBorder="1" applyAlignment="1">
      <alignment horizontal="left"/>
    </xf>
    <xf numFmtId="164" fontId="46" fillId="25" borderId="12" xfId="61" applyNumberFormat="1" applyFont="1" applyFill="1" applyBorder="1"/>
    <xf numFmtId="0" fontId="40" fillId="25" borderId="11" xfId="61" applyFont="1" applyFill="1" applyBorder="1"/>
    <xf numFmtId="0" fontId="40" fillId="25" borderId="21" xfId="61" applyFont="1" applyFill="1" applyBorder="1"/>
    <xf numFmtId="164" fontId="17" fillId="25" borderId="0" xfId="61" applyNumberFormat="1" applyFont="1" applyFill="1"/>
    <xf numFmtId="0" fontId="40" fillId="25" borderId="18" xfId="61" applyFont="1" applyFill="1" applyBorder="1"/>
    <xf numFmtId="164" fontId="40" fillId="25" borderId="13" xfId="40" applyNumberFormat="1" applyFont="1" applyFill="1" applyBorder="1"/>
    <xf numFmtId="0" fontId="40" fillId="25" borderId="0" xfId="61" applyFont="1" applyFill="1"/>
    <xf numFmtId="164" fontId="16" fillId="25" borderId="12" xfId="40" applyNumberFormat="1" applyFont="1" applyFill="1" applyBorder="1"/>
    <xf numFmtId="164" fontId="40" fillId="25" borderId="12" xfId="40" applyNumberFormat="1" applyFont="1" applyFill="1" applyBorder="1"/>
    <xf numFmtId="164" fontId="40" fillId="25" borderId="24" xfId="40" applyNumberFormat="1" applyFont="1" applyFill="1" applyBorder="1"/>
    <xf numFmtId="164" fontId="17" fillId="25" borderId="12" xfId="61" applyNumberFormat="1" applyFont="1" applyFill="1" applyBorder="1"/>
    <xf numFmtId="164" fontId="17" fillId="25" borderId="12" xfId="61" applyNumberFormat="1" applyFont="1" applyFill="1" applyBorder="1" applyAlignment="1">
      <alignment horizontal="centerContinuous"/>
    </xf>
    <xf numFmtId="164" fontId="40" fillId="25" borderId="12" xfId="61" applyNumberFormat="1" applyFont="1" applyFill="1" applyBorder="1"/>
    <xf numFmtId="164" fontId="17" fillId="25" borderId="0" xfId="40" applyNumberFormat="1" applyFont="1" applyFill="1" applyBorder="1"/>
    <xf numFmtId="0" fontId="41" fillId="24" borderId="18" xfId="61" applyFont="1" applyFill="1" applyBorder="1"/>
    <xf numFmtId="164" fontId="17" fillId="25" borderId="12" xfId="40" applyNumberFormat="1" applyFont="1" applyFill="1" applyBorder="1"/>
    <xf numFmtId="164" fontId="40" fillId="25" borderId="14" xfId="40" applyNumberFormat="1" applyFont="1" applyFill="1" applyBorder="1"/>
    <xf numFmtId="164" fontId="45" fillId="25" borderId="12" xfId="61" applyNumberFormat="1" applyFont="1" applyFill="1" applyBorder="1" applyAlignment="1">
      <alignment horizontal="right"/>
    </xf>
    <xf numFmtId="0" fontId="48" fillId="25" borderId="0" xfId="61" applyFont="1" applyFill="1"/>
    <xf numFmtId="0" fontId="49" fillId="25" borderId="0" xfId="61" applyFont="1" applyFill="1"/>
    <xf numFmtId="0" fontId="49" fillId="24" borderId="0" xfId="61" applyFont="1" applyFill="1"/>
    <xf numFmtId="0" fontId="47" fillId="25" borderId="0" xfId="61" applyFont="1" applyFill="1"/>
    <xf numFmtId="0" fontId="51" fillId="24" borderId="11" xfId="61" applyFont="1" applyFill="1" applyBorder="1" applyAlignment="1">
      <alignment horizontal="left"/>
    </xf>
    <xf numFmtId="0" fontId="52" fillId="24" borderId="0" xfId="61" applyFont="1" applyFill="1"/>
    <xf numFmtId="0" fontId="53" fillId="25" borderId="0" xfId="61" applyFont="1" applyFill="1"/>
    <xf numFmtId="0" fontId="46" fillId="25" borderId="0" xfId="61" applyFont="1" applyFill="1"/>
    <xf numFmtId="0" fontId="17" fillId="24" borderId="11" xfId="61" applyFont="1" applyFill="1" applyBorder="1" applyAlignment="1">
      <alignment horizontal="centerContinuous"/>
    </xf>
    <xf numFmtId="0" fontId="46" fillId="25" borderId="17" xfId="61" applyFont="1" applyFill="1" applyBorder="1"/>
    <xf numFmtId="1" fontId="46" fillId="25" borderId="17" xfId="61" applyNumberFormat="1" applyFont="1" applyFill="1" applyBorder="1"/>
    <xf numFmtId="0" fontId="40" fillId="25" borderId="17" xfId="61" applyFont="1" applyFill="1" applyBorder="1"/>
    <xf numFmtId="164" fontId="45" fillId="25" borderId="12" xfId="61" applyNumberFormat="1" applyFont="1" applyFill="1" applyBorder="1"/>
    <xf numFmtId="0" fontId="56" fillId="24" borderId="0" xfId="61" applyFont="1" applyFill="1"/>
    <xf numFmtId="0" fontId="57" fillId="24" borderId="11" xfId="61" applyFont="1" applyFill="1" applyBorder="1"/>
    <xf numFmtId="0" fontId="47" fillId="24" borderId="0" xfId="61" applyFont="1" applyFill="1"/>
    <xf numFmtId="0" fontId="53" fillId="25" borderId="17" xfId="61" applyFont="1" applyFill="1" applyBorder="1"/>
    <xf numFmtId="0" fontId="58" fillId="24" borderId="11" xfId="61" applyFont="1" applyFill="1" applyBorder="1" applyAlignment="1">
      <alignment horizontal="left"/>
    </xf>
    <xf numFmtId="0" fontId="59" fillId="25" borderId="17" xfId="61" applyFont="1" applyFill="1" applyBorder="1"/>
    <xf numFmtId="0" fontId="60" fillId="24" borderId="0" xfId="61" applyFont="1" applyFill="1"/>
    <xf numFmtId="0" fontId="57" fillId="24" borderId="11" xfId="61" applyFont="1" applyFill="1" applyBorder="1" applyAlignment="1">
      <alignment horizontal="left"/>
    </xf>
    <xf numFmtId="0" fontId="61" fillId="24" borderId="0" xfId="61" applyFont="1" applyFill="1"/>
    <xf numFmtId="0" fontId="55" fillId="24" borderId="11" xfId="61" applyFont="1" applyFill="1" applyBorder="1" applyAlignment="1">
      <alignment horizontal="left"/>
    </xf>
    <xf numFmtId="172" fontId="45" fillId="25" borderId="12" xfId="66" applyNumberFormat="1" applyFont="1" applyFill="1" applyBorder="1"/>
    <xf numFmtId="164" fontId="17" fillId="24" borderId="0" xfId="41" applyNumberFormat="1" applyFont="1" applyFill="1" applyBorder="1"/>
    <xf numFmtId="164" fontId="17" fillId="25" borderId="31" xfId="40" applyNumberFormat="1" applyFont="1" applyFill="1" applyBorder="1"/>
    <xf numFmtId="0" fontId="40" fillId="25" borderId="28" xfId="61" applyFont="1" applyFill="1" applyBorder="1"/>
    <xf numFmtId="164" fontId="17" fillId="25" borderId="25" xfId="44" applyNumberFormat="1" applyFont="1" applyFill="1" applyBorder="1" applyAlignment="1">
      <alignment horizontal="right"/>
    </xf>
    <xf numFmtId="164" fontId="59" fillId="25" borderId="12" xfId="61" applyNumberFormat="1" applyFont="1" applyFill="1" applyBorder="1"/>
    <xf numFmtId="164" fontId="53" fillId="25" borderId="12" xfId="61" applyNumberFormat="1" applyFont="1" applyFill="1" applyBorder="1"/>
    <xf numFmtId="164" fontId="17" fillId="25" borderId="23" xfId="44" applyNumberFormat="1" applyFont="1" applyFill="1" applyBorder="1" applyAlignment="1">
      <alignment horizontal="right"/>
    </xf>
    <xf numFmtId="164" fontId="17" fillId="25" borderId="25" xfId="40" applyNumberFormat="1" applyFont="1" applyFill="1" applyBorder="1"/>
    <xf numFmtId="164" fontId="17" fillId="25" borderId="17" xfId="61" applyNumberFormat="1" applyFont="1" applyFill="1" applyBorder="1"/>
    <xf numFmtId="164" fontId="46" fillId="25" borderId="13" xfId="61" applyNumberFormat="1" applyFont="1" applyFill="1" applyBorder="1"/>
    <xf numFmtId="164" fontId="46" fillId="25" borderId="14" xfId="61" applyNumberFormat="1" applyFont="1" applyFill="1" applyBorder="1"/>
    <xf numFmtId="172" fontId="59" fillId="25" borderId="12" xfId="66" applyNumberFormat="1" applyFont="1" applyFill="1" applyBorder="1"/>
    <xf numFmtId="0" fontId="17" fillId="26" borderId="14" xfId="61" applyFont="1" applyFill="1" applyBorder="1" applyAlignment="1">
      <alignment horizontal="center"/>
    </xf>
    <xf numFmtId="0" fontId="40" fillId="25" borderId="32" xfId="61" applyFont="1" applyFill="1" applyBorder="1"/>
    <xf numFmtId="41" fontId="17" fillId="25" borderId="0" xfId="78" applyNumberFormat="1" applyFont="1" applyFill="1" applyBorder="1"/>
    <xf numFmtId="0" fontId="40" fillId="26" borderId="15" xfId="61" applyFont="1" applyFill="1" applyBorder="1"/>
    <xf numFmtId="0" fontId="17" fillId="26" borderId="0" xfId="61" applyFont="1" applyFill="1"/>
    <xf numFmtId="0" fontId="40" fillId="26" borderId="20" xfId="61" applyFont="1" applyFill="1" applyBorder="1"/>
    <xf numFmtId="0" fontId="17" fillId="26" borderId="11" xfId="61" applyFont="1" applyFill="1" applyBorder="1"/>
    <xf numFmtId="164" fontId="18" fillId="24" borderId="0" xfId="61" applyNumberFormat="1" applyFont="1" applyFill="1"/>
    <xf numFmtId="164" fontId="17" fillId="25" borderId="0" xfId="41" applyNumberFormat="1" applyFont="1" applyFill="1" applyBorder="1"/>
    <xf numFmtId="0" fontId="63" fillId="25" borderId="0" xfId="61" applyFont="1" applyFill="1" applyAlignment="1">
      <alignment vertical="center"/>
    </xf>
    <xf numFmtId="0" fontId="17" fillId="28" borderId="28" xfId="61" applyFont="1" applyFill="1" applyBorder="1" applyAlignment="1">
      <alignment horizontal="center"/>
    </xf>
    <xf numFmtId="166" fontId="16" fillId="25" borderId="0" xfId="61" applyNumberFormat="1" applyFont="1" applyFill="1"/>
    <xf numFmtId="0" fontId="46" fillId="25" borderId="0" xfId="60" applyFont="1" applyFill="1"/>
    <xf numFmtId="0" fontId="52" fillId="25" borderId="0" xfId="61" applyFont="1" applyFill="1"/>
    <xf numFmtId="0" fontId="18" fillId="28" borderId="17" xfId="61" applyFont="1" applyFill="1" applyBorder="1"/>
    <xf numFmtId="0" fontId="16" fillId="24" borderId="12" xfId="61" applyFont="1" applyFill="1" applyBorder="1"/>
    <xf numFmtId="170" fontId="18" fillId="25" borderId="12" xfId="40" applyNumberFormat="1" applyFont="1" applyFill="1" applyBorder="1"/>
    <xf numFmtId="176" fontId="18" fillId="24" borderId="0" xfId="61" applyNumberFormat="1" applyFont="1" applyFill="1"/>
    <xf numFmtId="166" fontId="56" fillId="25" borderId="0" xfId="61" applyNumberFormat="1" applyFont="1" applyFill="1"/>
    <xf numFmtId="164" fontId="18" fillId="25" borderId="0" xfId="61" applyNumberFormat="1" applyFont="1" applyFill="1"/>
    <xf numFmtId="164" fontId="16" fillId="25" borderId="0" xfId="61" applyNumberFormat="1" applyFont="1" applyFill="1"/>
    <xf numFmtId="164" fontId="56" fillId="25" borderId="0" xfId="61" applyNumberFormat="1" applyFont="1" applyFill="1"/>
    <xf numFmtId="0" fontId="46" fillId="25" borderId="10" xfId="61" applyFont="1" applyFill="1" applyBorder="1"/>
    <xf numFmtId="0" fontId="17" fillId="26" borderId="19" xfId="61" applyFont="1" applyFill="1" applyBorder="1" applyAlignment="1">
      <alignment horizontal="center"/>
    </xf>
    <xf numFmtId="0" fontId="17" fillId="28" borderId="13" xfId="61" applyFont="1" applyFill="1" applyBorder="1" applyAlignment="1">
      <alignment horizontal="center"/>
    </xf>
    <xf numFmtId="0" fontId="18" fillId="28" borderId="12" xfId="61" applyFont="1" applyFill="1" applyBorder="1"/>
    <xf numFmtId="0" fontId="17" fillId="26" borderId="18" xfId="61" applyFont="1" applyFill="1" applyBorder="1"/>
    <xf numFmtId="0" fontId="41" fillId="24" borderId="20" xfId="61" applyFont="1" applyFill="1" applyBorder="1" applyAlignment="1">
      <alignment horizontal="left"/>
    </xf>
    <xf numFmtId="0" fontId="17" fillId="24" borderId="26" xfId="61" applyFont="1" applyFill="1" applyBorder="1"/>
    <xf numFmtId="0" fontId="41" fillId="24" borderId="0" xfId="61" applyFont="1" applyFill="1"/>
    <xf numFmtId="0" fontId="17" fillId="26" borderId="28" xfId="61" applyFont="1" applyFill="1" applyBorder="1"/>
    <xf numFmtId="0" fontId="17" fillId="26" borderId="10" xfId="61" applyFont="1" applyFill="1" applyBorder="1"/>
    <xf numFmtId="0" fontId="17" fillId="28" borderId="14" xfId="61" applyFont="1" applyFill="1" applyBorder="1" applyAlignment="1">
      <alignment horizontal="center"/>
    </xf>
    <xf numFmtId="176" fontId="18" fillId="25" borderId="0" xfId="61" applyNumberFormat="1" applyFont="1" applyFill="1"/>
    <xf numFmtId="0" fontId="56" fillId="25" borderId="0" xfId="61" applyFont="1" applyFill="1"/>
    <xf numFmtId="0" fontId="61" fillId="25" borderId="0" xfId="61" applyFont="1" applyFill="1"/>
    <xf numFmtId="176" fontId="16" fillId="25" borderId="0" xfId="61" applyNumberFormat="1" applyFont="1" applyFill="1"/>
    <xf numFmtId="0" fontId="17" fillId="28" borderId="27" xfId="61" applyFont="1" applyFill="1" applyBorder="1" applyAlignment="1">
      <alignment horizontal="center"/>
    </xf>
    <xf numFmtId="0" fontId="65" fillId="0" borderId="0" xfId="0" applyFont="1"/>
    <xf numFmtId="9" fontId="56" fillId="25" borderId="0" xfId="66" applyFont="1" applyFill="1" applyBorder="1"/>
    <xf numFmtId="41" fontId="17" fillId="0" borderId="0" xfId="78" applyNumberFormat="1" applyFont="1" applyFill="1" applyBorder="1"/>
    <xf numFmtId="9" fontId="18" fillId="24" borderId="0" xfId="66" applyFont="1" applyFill="1"/>
    <xf numFmtId="164" fontId="17" fillId="25" borderId="19" xfId="61" applyNumberFormat="1" applyFont="1" applyFill="1" applyBorder="1"/>
    <xf numFmtId="9" fontId="45" fillId="25" borderId="12" xfId="66" applyFont="1" applyFill="1" applyBorder="1"/>
    <xf numFmtId="164" fontId="40" fillId="25" borderId="17" xfId="61" applyNumberFormat="1" applyFont="1" applyFill="1" applyBorder="1"/>
    <xf numFmtId="164" fontId="47" fillId="25" borderId="12" xfId="61" applyNumberFormat="1" applyFont="1" applyFill="1" applyBorder="1"/>
    <xf numFmtId="164" fontId="46" fillId="25" borderId="17" xfId="61" applyNumberFormat="1" applyFont="1" applyFill="1" applyBorder="1"/>
    <xf numFmtId="0" fontId="17" fillId="46" borderId="14" xfId="61" applyFont="1" applyFill="1" applyBorder="1"/>
    <xf numFmtId="164" fontId="59" fillId="25" borderId="17" xfId="61" applyNumberFormat="1" applyFont="1" applyFill="1" applyBorder="1"/>
    <xf numFmtId="164" fontId="53" fillId="25" borderId="17" xfId="61" applyNumberFormat="1" applyFont="1" applyFill="1" applyBorder="1"/>
    <xf numFmtId="164" fontId="16" fillId="25" borderId="12" xfId="61" applyNumberFormat="1" applyFont="1" applyFill="1" applyBorder="1"/>
    <xf numFmtId="0" fontId="46" fillId="0" borderId="17" xfId="61" applyFont="1" applyBorder="1"/>
    <xf numFmtId="164" fontId="17" fillId="25" borderId="27" xfId="40" applyNumberFormat="1" applyFont="1" applyFill="1" applyBorder="1"/>
    <xf numFmtId="164" fontId="18" fillId="25" borderId="12" xfId="61" applyNumberFormat="1" applyFont="1" applyFill="1" applyBorder="1"/>
    <xf numFmtId="0" fontId="17" fillId="24" borderId="27" xfId="61" applyFont="1" applyFill="1" applyBorder="1" applyAlignment="1">
      <alignment horizontal="left"/>
    </xf>
    <xf numFmtId="9" fontId="45" fillId="25" borderId="17" xfId="66" applyFont="1" applyFill="1" applyBorder="1"/>
    <xf numFmtId="164" fontId="17" fillId="25" borderId="42" xfId="44" applyNumberFormat="1" applyFont="1" applyFill="1" applyBorder="1" applyAlignment="1">
      <alignment horizontal="right"/>
    </xf>
    <xf numFmtId="164" fontId="17" fillId="25" borderId="17" xfId="61" applyNumberFormat="1" applyFont="1" applyFill="1" applyBorder="1" applyAlignment="1">
      <alignment horizontal="centerContinuous"/>
    </xf>
    <xf numFmtId="164" fontId="40" fillId="25" borderId="17" xfId="40" applyNumberFormat="1" applyFont="1" applyFill="1" applyBorder="1"/>
    <xf numFmtId="0" fontId="17" fillId="24" borderId="14" xfId="61" applyFont="1" applyFill="1" applyBorder="1" applyAlignment="1">
      <alignment horizontal="left"/>
    </xf>
    <xf numFmtId="164" fontId="40" fillId="25" borderId="17" xfId="61" applyNumberFormat="1" applyFont="1" applyFill="1" applyBorder="1" applyAlignment="1">
      <alignment horizontal="centerContinuous"/>
    </xf>
    <xf numFmtId="0" fontId="17" fillId="24" borderId="17" xfId="61" applyFont="1" applyFill="1" applyBorder="1" applyAlignment="1">
      <alignment horizontal="centerContinuous"/>
    </xf>
    <xf numFmtId="0" fontId="17" fillId="26" borderId="19" xfId="61" applyFont="1" applyFill="1" applyBorder="1" applyAlignment="1">
      <alignment horizontal="center" wrapText="1"/>
    </xf>
    <xf numFmtId="0" fontId="17" fillId="46" borderId="14" xfId="61" applyFont="1" applyFill="1" applyBorder="1" applyAlignment="1">
      <alignment horizontal="center"/>
    </xf>
    <xf numFmtId="164" fontId="46" fillId="25" borderId="17" xfId="61" applyNumberFormat="1" applyFont="1" applyFill="1" applyBorder="1" applyAlignment="1">
      <alignment horizontal="left"/>
    </xf>
    <xf numFmtId="0" fontId="46" fillId="47" borderId="0" xfId="60" applyFont="1" applyFill="1" applyAlignment="1">
      <alignment vertical="center"/>
    </xf>
    <xf numFmtId="0" fontId="16" fillId="24" borderId="0" xfId="61" applyFont="1" applyFill="1" applyAlignment="1">
      <alignment vertical="center"/>
    </xf>
    <xf numFmtId="0" fontId="17" fillId="48" borderId="28" xfId="0" applyFont="1" applyFill="1" applyBorder="1" applyAlignment="1">
      <alignment horizontal="center" vertical="center"/>
    </xf>
    <xf numFmtId="0" fontId="40" fillId="25" borderId="0" xfId="61" applyFont="1" applyFill="1" applyAlignment="1">
      <alignment vertical="center"/>
    </xf>
    <xf numFmtId="0" fontId="14" fillId="24" borderId="0" xfId="61" applyFont="1" applyFill="1" applyAlignment="1">
      <alignment vertical="center"/>
    </xf>
    <xf numFmtId="0" fontId="16" fillId="25" borderId="0" xfId="61" applyFont="1" applyFill="1" applyAlignment="1">
      <alignment vertical="center"/>
    </xf>
    <xf numFmtId="0" fontId="48" fillId="24" borderId="0" xfId="61" applyFont="1" applyFill="1" applyAlignment="1">
      <alignment vertical="center"/>
    </xf>
    <xf numFmtId="0" fontId="18" fillId="24" borderId="0" xfId="61" applyFont="1" applyFill="1" applyAlignment="1">
      <alignment vertical="center"/>
    </xf>
    <xf numFmtId="0" fontId="40" fillId="26" borderId="20" xfId="61" applyFont="1" applyFill="1" applyBorder="1" applyAlignment="1">
      <alignment vertical="center"/>
    </xf>
    <xf numFmtId="0" fontId="40" fillId="26" borderId="15" xfId="61" applyFont="1" applyFill="1" applyBorder="1" applyAlignment="1">
      <alignment vertical="center"/>
    </xf>
    <xf numFmtId="0" fontId="40" fillId="26" borderId="27" xfId="61" applyFont="1" applyFill="1" applyBorder="1" applyAlignment="1">
      <alignment vertical="center"/>
    </xf>
    <xf numFmtId="0" fontId="17" fillId="25" borderId="0" xfId="61" applyFont="1" applyFill="1" applyAlignment="1">
      <alignment horizontal="center" vertical="center"/>
    </xf>
    <xf numFmtId="0" fontId="17" fillId="28" borderId="14" xfId="61" applyFont="1" applyFill="1" applyBorder="1" applyAlignment="1">
      <alignment horizontal="center" vertical="center"/>
    </xf>
    <xf numFmtId="0" fontId="17" fillId="26" borderId="11" xfId="61" applyFont="1" applyFill="1" applyBorder="1" applyAlignment="1">
      <alignment vertical="center"/>
    </xf>
    <xf numFmtId="0" fontId="17" fillId="26" borderId="0" xfId="61" applyFont="1" applyFill="1" applyAlignment="1">
      <alignment vertical="center"/>
    </xf>
    <xf numFmtId="0" fontId="40" fillId="26" borderId="17" xfId="61" applyFont="1" applyFill="1" applyBorder="1" applyAlignment="1">
      <alignment vertical="center"/>
    </xf>
    <xf numFmtId="0" fontId="17" fillId="26" borderId="12" xfId="61" applyFont="1" applyFill="1" applyBorder="1" applyAlignment="1">
      <alignment horizontal="center" vertical="center"/>
    </xf>
    <xf numFmtId="0" fontId="17" fillId="26" borderId="17" xfId="61" applyFont="1" applyFill="1" applyBorder="1" applyAlignment="1">
      <alignment horizontal="center" vertical="center"/>
    </xf>
    <xf numFmtId="0" fontId="17" fillId="26" borderId="0" xfId="61" applyFont="1" applyFill="1" applyAlignment="1">
      <alignment horizontal="center" vertical="center"/>
    </xf>
    <xf numFmtId="0" fontId="18" fillId="28" borderId="12" xfId="61" applyFont="1" applyFill="1" applyBorder="1" applyAlignment="1">
      <alignment vertical="center"/>
    </xf>
    <xf numFmtId="0" fontId="17" fillId="26" borderId="18" xfId="61" applyFont="1" applyFill="1" applyBorder="1" applyAlignment="1">
      <alignment vertical="center"/>
    </xf>
    <xf numFmtId="0" fontId="17" fillId="26" borderId="10" xfId="61" applyFont="1" applyFill="1" applyBorder="1" applyAlignment="1">
      <alignment vertical="center"/>
    </xf>
    <xf numFmtId="0" fontId="40" fillId="26" borderId="28" xfId="61" applyFont="1" applyFill="1" applyBorder="1" applyAlignment="1">
      <alignment vertical="center"/>
    </xf>
    <xf numFmtId="0" fontId="17" fillId="26" borderId="13" xfId="61" applyFont="1" applyFill="1" applyBorder="1" applyAlignment="1">
      <alignment horizontal="center" vertical="center"/>
    </xf>
    <xf numFmtId="0" fontId="17" fillId="26" borderId="30" xfId="61" applyFont="1" applyFill="1" applyBorder="1" applyAlignment="1">
      <alignment horizontal="center" vertical="center"/>
    </xf>
    <xf numFmtId="0" fontId="17" fillId="28" borderId="13" xfId="61" applyFont="1" applyFill="1" applyBorder="1" applyAlignment="1">
      <alignment horizontal="center" vertical="center"/>
    </xf>
    <xf numFmtId="0" fontId="41" fillId="24" borderId="11" xfId="61" applyFont="1" applyFill="1" applyBorder="1" applyAlignment="1">
      <alignment vertical="center"/>
    </xf>
    <xf numFmtId="0" fontId="40" fillId="24" borderId="0" xfId="61" applyFont="1" applyFill="1" applyAlignment="1">
      <alignment vertical="center"/>
    </xf>
    <xf numFmtId="0" fontId="40" fillId="47" borderId="12" xfId="61" applyFont="1" applyFill="1" applyBorder="1" applyAlignment="1">
      <alignment vertical="center"/>
    </xf>
    <xf numFmtId="0" fontId="40" fillId="47" borderId="17" xfId="61" applyFont="1" applyFill="1" applyBorder="1" applyAlignment="1">
      <alignment vertical="center"/>
    </xf>
    <xf numFmtId="0" fontId="40" fillId="47" borderId="0" xfId="61" applyFont="1" applyFill="1" applyAlignment="1">
      <alignment vertical="center"/>
    </xf>
    <xf numFmtId="0" fontId="16" fillId="47" borderId="12" xfId="61" applyFont="1" applyFill="1" applyBorder="1" applyAlignment="1">
      <alignment vertical="center"/>
    </xf>
    <xf numFmtId="0" fontId="16" fillId="47" borderId="14" xfId="61" applyFont="1" applyFill="1" applyBorder="1" applyAlignment="1">
      <alignment vertical="center"/>
    </xf>
    <xf numFmtId="0" fontId="16" fillId="47" borderId="17" xfId="61" applyFont="1" applyFill="1" applyBorder="1" applyAlignment="1">
      <alignment vertical="center"/>
    </xf>
    <xf numFmtId="164" fontId="40" fillId="47" borderId="12" xfId="44" applyNumberFormat="1" applyFont="1" applyFill="1" applyBorder="1" applyAlignment="1">
      <alignment vertical="center"/>
    </xf>
    <xf numFmtId="164" fontId="40" fillId="47" borderId="0" xfId="44" applyNumberFormat="1" applyFont="1" applyFill="1" applyBorder="1" applyAlignment="1">
      <alignment vertical="center"/>
    </xf>
    <xf numFmtId="164" fontId="16" fillId="47" borderId="0" xfId="61" applyNumberFormat="1" applyFont="1" applyFill="1" applyAlignment="1">
      <alignment vertical="center"/>
    </xf>
    <xf numFmtId="0" fontId="40" fillId="47" borderId="10" xfId="61" applyFont="1" applyFill="1" applyBorder="1" applyAlignment="1">
      <alignment vertical="center"/>
    </xf>
    <xf numFmtId="164" fontId="40" fillId="47" borderId="13" xfId="44" applyNumberFormat="1" applyFont="1" applyFill="1" applyBorder="1" applyAlignment="1">
      <alignment vertical="center"/>
    </xf>
    <xf numFmtId="164" fontId="40" fillId="47" borderId="14" xfId="61" applyNumberFormat="1" applyFont="1" applyFill="1" applyBorder="1" applyAlignment="1">
      <alignment vertical="center"/>
    </xf>
    <xf numFmtId="164" fontId="40" fillId="25" borderId="14" xfId="61" applyNumberFormat="1" applyFont="1" applyFill="1" applyBorder="1" applyAlignment="1">
      <alignment vertical="center"/>
    </xf>
    <xf numFmtId="164" fontId="40" fillId="47" borderId="0" xfId="61" applyNumberFormat="1" applyFont="1" applyFill="1" applyAlignment="1">
      <alignment vertical="center"/>
    </xf>
    <xf numFmtId="164" fontId="40" fillId="47" borderId="13" xfId="61" applyNumberFormat="1" applyFont="1" applyFill="1" applyBorder="1" applyAlignment="1">
      <alignment vertical="center"/>
    </xf>
    <xf numFmtId="164" fontId="40" fillId="25" borderId="13" xfId="61" applyNumberFormat="1" applyFont="1" applyFill="1" applyBorder="1" applyAlignment="1">
      <alignment vertical="center"/>
    </xf>
    <xf numFmtId="0" fontId="17" fillId="47" borderId="0" xfId="61" applyFont="1" applyFill="1" applyAlignment="1">
      <alignment vertical="center"/>
    </xf>
    <xf numFmtId="164" fontId="17" fillId="47" borderId="12" xfId="44" applyNumberFormat="1" applyFont="1" applyFill="1" applyBorder="1" applyAlignment="1">
      <alignment vertical="center"/>
    </xf>
    <xf numFmtId="164" fontId="17" fillId="47" borderId="0" xfId="44" applyNumberFormat="1" applyFont="1" applyFill="1" applyBorder="1" applyAlignment="1">
      <alignment vertical="center"/>
    </xf>
    <xf numFmtId="172" fontId="41" fillId="24" borderId="11" xfId="66" applyNumberFormat="1" applyFont="1" applyFill="1" applyBorder="1" applyAlignment="1">
      <alignment vertical="center"/>
    </xf>
    <xf numFmtId="172" fontId="17" fillId="47" borderId="0" xfId="66" applyNumberFormat="1" applyFont="1" applyFill="1" applyBorder="1" applyAlignment="1">
      <alignment vertical="center"/>
    </xf>
    <xf numFmtId="172" fontId="17" fillId="47" borderId="12" xfId="66" applyNumberFormat="1" applyFont="1" applyFill="1" applyBorder="1" applyAlignment="1">
      <alignment vertical="center"/>
    </xf>
    <xf numFmtId="172" fontId="18" fillId="24" borderId="0" xfId="66" applyNumberFormat="1" applyFont="1" applyFill="1" applyAlignment="1">
      <alignment vertical="center"/>
    </xf>
    <xf numFmtId="0" fontId="17" fillId="47" borderId="15" xfId="61" applyFont="1" applyFill="1" applyBorder="1" applyAlignment="1">
      <alignment vertical="center"/>
    </xf>
    <xf numFmtId="164" fontId="17" fillId="47" borderId="14" xfId="61" applyNumberFormat="1" applyFont="1" applyFill="1" applyBorder="1" applyAlignment="1">
      <alignment vertical="center"/>
    </xf>
    <xf numFmtId="164" fontId="17" fillId="47" borderId="0" xfId="61" applyNumberFormat="1" applyFont="1" applyFill="1" applyAlignment="1">
      <alignment vertical="center"/>
    </xf>
    <xf numFmtId="0" fontId="40" fillId="47" borderId="0" xfId="61" applyFont="1" applyFill="1" applyAlignment="1">
      <alignment horizontal="left" vertical="center"/>
    </xf>
    <xf numFmtId="164" fontId="40" fillId="47" borderId="12" xfId="61" applyNumberFormat="1" applyFont="1" applyFill="1" applyBorder="1" applyAlignment="1">
      <alignment vertical="center"/>
    </xf>
    <xf numFmtId="164" fontId="40" fillId="25" borderId="12" xfId="61" applyNumberFormat="1" applyFont="1" applyFill="1" applyBorder="1" applyAlignment="1">
      <alignment vertical="center"/>
    </xf>
    <xf numFmtId="0" fontId="43" fillId="24" borderId="11" xfId="61" applyFont="1" applyFill="1" applyBorder="1" applyAlignment="1">
      <alignment vertical="center"/>
    </xf>
    <xf numFmtId="164" fontId="17" fillId="47" borderId="12" xfId="61" applyNumberFormat="1" applyFont="1" applyFill="1" applyBorder="1" applyAlignment="1">
      <alignment vertical="center"/>
    </xf>
    <xf numFmtId="164" fontId="17" fillId="25" borderId="12" xfId="61" applyNumberFormat="1" applyFont="1" applyFill="1" applyBorder="1" applyAlignment="1">
      <alignment vertical="center"/>
    </xf>
    <xf numFmtId="0" fontId="17" fillId="47" borderId="22" xfId="61" applyFont="1" applyFill="1" applyBorder="1" applyAlignment="1">
      <alignment vertical="center"/>
    </xf>
    <xf numFmtId="164" fontId="17" fillId="47" borderId="16" xfId="61" applyNumberFormat="1" applyFont="1" applyFill="1" applyBorder="1" applyAlignment="1">
      <alignment vertical="center"/>
    </xf>
    <xf numFmtId="0" fontId="41" fillId="24" borderId="11" xfId="61" applyFont="1" applyFill="1" applyBorder="1" applyAlignment="1">
      <alignment horizontal="left" vertical="center"/>
    </xf>
    <xf numFmtId="0" fontId="17" fillId="47" borderId="0" xfId="61" applyFont="1" applyFill="1" applyAlignment="1">
      <alignment horizontal="left" vertical="center"/>
    </xf>
    <xf numFmtId="164" fontId="17" fillId="47" borderId="12" xfId="61" applyNumberFormat="1" applyFont="1" applyFill="1" applyBorder="1" applyAlignment="1">
      <alignment horizontal="left" vertical="center"/>
    </xf>
    <xf numFmtId="164" fontId="17" fillId="47" borderId="0" xfId="61" applyNumberFormat="1" applyFont="1" applyFill="1" applyAlignment="1">
      <alignment horizontal="left" vertical="center"/>
    </xf>
    <xf numFmtId="0" fontId="40" fillId="25" borderId="11" xfId="61" applyFont="1" applyFill="1" applyBorder="1" applyAlignment="1">
      <alignment vertical="center"/>
    </xf>
    <xf numFmtId="0" fontId="46" fillId="47" borderId="0" xfId="61" applyFont="1" applyFill="1" applyAlignment="1">
      <alignment vertical="center"/>
    </xf>
    <xf numFmtId="164" fontId="40" fillId="47" borderId="12" xfId="41" applyNumberFormat="1" applyFont="1" applyFill="1" applyBorder="1" applyAlignment="1">
      <alignment vertical="center"/>
    </xf>
    <xf numFmtId="164" fontId="40" fillId="25" borderId="12" xfId="41" applyNumberFormat="1" applyFont="1" applyFill="1" applyBorder="1" applyAlignment="1">
      <alignment vertical="center"/>
    </xf>
    <xf numFmtId="164" fontId="40" fillId="47" borderId="0" xfId="41" applyNumberFormat="1" applyFont="1" applyFill="1" applyBorder="1" applyAlignment="1">
      <alignment vertical="center"/>
    </xf>
    <xf numFmtId="0" fontId="47" fillId="25" borderId="11" xfId="61" applyFont="1" applyFill="1" applyBorder="1" applyAlignment="1">
      <alignment vertical="center"/>
    </xf>
    <xf numFmtId="0" fontId="47" fillId="47" borderId="0" xfId="61" applyFont="1" applyFill="1" applyAlignment="1">
      <alignment vertical="center"/>
    </xf>
    <xf numFmtId="0" fontId="49" fillId="25" borderId="0" xfId="61" applyFont="1" applyFill="1" applyAlignment="1">
      <alignment vertical="center"/>
    </xf>
    <xf numFmtId="164" fontId="46" fillId="47" borderId="12" xfId="41" applyNumberFormat="1" applyFont="1" applyFill="1" applyBorder="1" applyAlignment="1">
      <alignment vertical="center"/>
    </xf>
    <xf numFmtId="164" fontId="46" fillId="47" borderId="0" xfId="41" applyNumberFormat="1" applyFont="1" applyFill="1" applyBorder="1" applyAlignment="1">
      <alignment vertical="center"/>
    </xf>
    <xf numFmtId="1" fontId="40" fillId="25" borderId="11" xfId="61" applyNumberFormat="1" applyFont="1" applyFill="1" applyBorder="1" applyAlignment="1">
      <alignment vertical="center"/>
    </xf>
    <xf numFmtId="1" fontId="40" fillId="47" borderId="0" xfId="61" applyNumberFormat="1" applyFont="1" applyFill="1" applyAlignment="1">
      <alignment vertical="center"/>
    </xf>
    <xf numFmtId="1" fontId="16" fillId="25" borderId="0" xfId="61" applyNumberFormat="1" applyFont="1" applyFill="1" applyAlignment="1">
      <alignment vertical="center"/>
    </xf>
    <xf numFmtId="164" fontId="17" fillId="47" borderId="0" xfId="41" applyNumberFormat="1" applyFont="1" applyFill="1" applyBorder="1" applyAlignment="1">
      <alignment vertical="center"/>
    </xf>
    <xf numFmtId="0" fontId="41" fillId="25" borderId="11" xfId="61" applyFont="1" applyFill="1" applyBorder="1" applyAlignment="1">
      <alignment horizontal="left" vertical="center"/>
    </xf>
    <xf numFmtId="0" fontId="17" fillId="47" borderId="0" xfId="61" applyFont="1" applyFill="1" applyAlignment="1">
      <alignment horizontal="centerContinuous" vertical="center"/>
    </xf>
    <xf numFmtId="164" fontId="17" fillId="47" borderId="12" xfId="61" applyNumberFormat="1" applyFont="1" applyFill="1" applyBorder="1" applyAlignment="1">
      <alignment horizontal="centerContinuous" vertical="center"/>
    </xf>
    <xf numFmtId="164" fontId="17" fillId="47" borderId="0" xfId="61" applyNumberFormat="1" applyFont="1" applyFill="1" applyAlignment="1">
      <alignment horizontal="centerContinuous" vertical="center"/>
    </xf>
    <xf numFmtId="0" fontId="18" fillId="25" borderId="0" xfId="61" applyFont="1" applyFill="1" applyAlignment="1">
      <alignment vertical="center"/>
    </xf>
    <xf numFmtId="0" fontId="83" fillId="47" borderId="0" xfId="61" applyFont="1" applyFill="1" applyAlignment="1">
      <alignment vertical="center"/>
    </xf>
    <xf numFmtId="164" fontId="40" fillId="25" borderId="12" xfId="40" applyNumberFormat="1" applyFont="1" applyFill="1" applyBorder="1" applyAlignment="1">
      <alignment vertical="center"/>
    </xf>
    <xf numFmtId="164" fontId="40" fillId="25" borderId="0" xfId="40" applyNumberFormat="1" applyFont="1" applyFill="1" applyBorder="1" applyAlignment="1">
      <alignment vertical="center"/>
    </xf>
    <xf numFmtId="164" fontId="40" fillId="47" borderId="12" xfId="40" applyNumberFormat="1" applyFont="1" applyFill="1" applyBorder="1" applyAlignment="1">
      <alignment vertical="center"/>
    </xf>
    <xf numFmtId="0" fontId="95" fillId="47" borderId="0" xfId="61" applyFont="1" applyFill="1" applyAlignment="1">
      <alignment vertical="center"/>
    </xf>
    <xf numFmtId="164" fontId="40" fillId="25" borderId="0" xfId="41" applyNumberFormat="1" applyFont="1" applyFill="1" applyBorder="1" applyAlignment="1">
      <alignment vertical="center"/>
    </xf>
    <xf numFmtId="0" fontId="40" fillId="24" borderId="18" xfId="61" applyFont="1" applyFill="1" applyBorder="1" applyAlignment="1">
      <alignment vertical="center"/>
    </xf>
    <xf numFmtId="0" fontId="16" fillId="47" borderId="0" xfId="61" applyFont="1" applyFill="1" applyAlignment="1">
      <alignment vertical="center"/>
    </xf>
    <xf numFmtId="164" fontId="16" fillId="25" borderId="0" xfId="61" applyNumberFormat="1" applyFont="1" applyFill="1" applyAlignment="1">
      <alignment vertical="center"/>
    </xf>
    <xf numFmtId="0" fontId="46" fillId="25" borderId="0" xfId="60" applyFont="1" applyFill="1" applyAlignment="1">
      <alignment vertical="center"/>
    </xf>
    <xf numFmtId="0" fontId="46" fillId="25" borderId="0" xfId="60" applyFont="1" applyFill="1" applyAlignment="1">
      <alignment horizontal="left" vertical="center" wrapText="1"/>
    </xf>
    <xf numFmtId="0" fontId="47" fillId="24" borderId="0" xfId="61" applyFont="1" applyFill="1" applyAlignment="1">
      <alignment vertical="center"/>
    </xf>
    <xf numFmtId="176" fontId="40" fillId="25" borderId="0" xfId="61" applyNumberFormat="1" applyFont="1" applyFill="1" applyAlignment="1">
      <alignment vertical="center"/>
    </xf>
    <xf numFmtId="9" fontId="40" fillId="25" borderId="0" xfId="66" applyFont="1" applyFill="1" applyAlignment="1">
      <alignment vertical="center"/>
    </xf>
    <xf numFmtId="43" fontId="16" fillId="47" borderId="0" xfId="61" applyNumberFormat="1" applyFont="1" applyFill="1" applyAlignment="1">
      <alignment vertical="center"/>
    </xf>
    <xf numFmtId="0" fontId="17" fillId="26" borderId="19" xfId="61" applyFont="1" applyFill="1" applyBorder="1" applyAlignment="1">
      <alignment horizontal="center" vertical="center"/>
    </xf>
    <xf numFmtId="0" fontId="48" fillId="25" borderId="0" xfId="61" applyFont="1" applyFill="1" applyAlignment="1">
      <alignment vertical="center"/>
    </xf>
    <xf numFmtId="0" fontId="47" fillId="25" borderId="0" xfId="61" applyFont="1" applyFill="1" applyAlignment="1">
      <alignment vertical="center"/>
    </xf>
    <xf numFmtId="0" fontId="49" fillId="24" borderId="0" xfId="61" applyFont="1" applyFill="1" applyAlignment="1">
      <alignment vertical="center"/>
    </xf>
    <xf numFmtId="0" fontId="17" fillId="46" borderId="14" xfId="61" applyFont="1" applyFill="1" applyBorder="1" applyAlignment="1">
      <alignment horizontal="center" vertical="center"/>
    </xf>
    <xf numFmtId="0" fontId="17" fillId="26" borderId="17" xfId="61" applyFont="1" applyFill="1" applyBorder="1" applyAlignment="1">
      <alignment vertical="center"/>
    </xf>
    <xf numFmtId="0" fontId="17" fillId="26" borderId="27" xfId="61" applyFont="1" applyFill="1" applyBorder="1" applyAlignment="1">
      <alignment horizontal="center" vertical="center"/>
    </xf>
    <xf numFmtId="0" fontId="17" fillId="26" borderId="14" xfId="61" applyFont="1" applyFill="1" applyBorder="1" applyAlignment="1">
      <alignment horizontal="center" vertical="center"/>
    </xf>
    <xf numFmtId="0" fontId="18" fillId="46" borderId="12" xfId="61" applyFont="1" applyFill="1" applyBorder="1" applyAlignment="1">
      <alignment vertical="center"/>
    </xf>
    <xf numFmtId="0" fontId="17" fillId="26" borderId="28" xfId="61" applyFont="1" applyFill="1" applyBorder="1" applyAlignment="1">
      <alignment vertical="center"/>
    </xf>
    <xf numFmtId="0" fontId="17" fillId="26" borderId="28" xfId="61" applyFont="1" applyFill="1" applyBorder="1" applyAlignment="1">
      <alignment horizontal="center" vertical="center"/>
    </xf>
    <xf numFmtId="0" fontId="17" fillId="26" borderId="18" xfId="61" applyFont="1" applyFill="1" applyBorder="1" applyAlignment="1">
      <alignment horizontal="center" vertical="center"/>
    </xf>
    <xf numFmtId="0" fontId="17" fillId="46" borderId="13" xfId="61" applyFont="1" applyFill="1" applyBorder="1" applyAlignment="1">
      <alignment horizontal="center" vertical="center"/>
    </xf>
    <xf numFmtId="0" fontId="40" fillId="24" borderId="17" xfId="61" applyFont="1" applyFill="1" applyBorder="1" applyAlignment="1">
      <alignment vertical="center"/>
    </xf>
    <xf numFmtId="0" fontId="40" fillId="25" borderId="17" xfId="61" applyFont="1" applyFill="1" applyBorder="1" applyAlignment="1">
      <alignment vertical="center"/>
    </xf>
    <xf numFmtId="0" fontId="40" fillId="25" borderId="12" xfId="61" applyFont="1" applyFill="1" applyBorder="1" applyAlignment="1">
      <alignment vertical="center"/>
    </xf>
    <xf numFmtId="0" fontId="16" fillId="25" borderId="12" xfId="61" applyFont="1" applyFill="1" applyBorder="1" applyAlignment="1">
      <alignment vertical="center"/>
    </xf>
    <xf numFmtId="0" fontId="16" fillId="25" borderId="17" xfId="61" applyFont="1" applyFill="1" applyBorder="1" applyAlignment="1">
      <alignment vertical="center"/>
    </xf>
    <xf numFmtId="0" fontId="17" fillId="24" borderId="17" xfId="61" applyFont="1" applyFill="1" applyBorder="1" applyAlignment="1">
      <alignment vertical="center"/>
    </xf>
    <xf numFmtId="164" fontId="53" fillId="25" borderId="17" xfId="91" applyNumberFormat="1" applyFont="1" applyFill="1" applyBorder="1" applyAlignment="1">
      <alignment vertical="center"/>
    </xf>
    <xf numFmtId="164" fontId="53" fillId="25" borderId="12" xfId="91" applyNumberFormat="1" applyFont="1" applyFill="1" applyBorder="1" applyAlignment="1">
      <alignment vertical="center"/>
    </xf>
    <xf numFmtId="164" fontId="17" fillId="25" borderId="12" xfId="91" applyNumberFormat="1" applyFont="1" applyFill="1" applyBorder="1" applyAlignment="1">
      <alignment vertical="center"/>
    </xf>
    <xf numFmtId="3" fontId="17" fillId="25" borderId="12" xfId="0" applyNumberFormat="1" applyFont="1" applyFill="1" applyBorder="1" applyAlignment="1">
      <alignment vertical="center"/>
    </xf>
    <xf numFmtId="170" fontId="53" fillId="25" borderId="0" xfId="61" applyNumberFormat="1" applyFont="1" applyFill="1" applyAlignment="1">
      <alignment vertical="center"/>
    </xf>
    <xf numFmtId="164" fontId="17" fillId="50" borderId="12" xfId="91" applyNumberFormat="1" applyFont="1" applyFill="1" applyBorder="1" applyAlignment="1">
      <alignment vertical="center"/>
    </xf>
    <xf numFmtId="3" fontId="17" fillId="50" borderId="12" xfId="0" applyNumberFormat="1" applyFont="1" applyFill="1" applyBorder="1" applyAlignment="1">
      <alignment vertical="center"/>
    </xf>
    <xf numFmtId="164" fontId="18" fillId="24" borderId="0" xfId="61" applyNumberFormat="1" applyFont="1" applyFill="1" applyAlignment="1">
      <alignment vertical="center"/>
    </xf>
    <xf numFmtId="164" fontId="46" fillId="25" borderId="28" xfId="91" applyNumberFormat="1" applyFont="1" applyFill="1" applyBorder="1" applyAlignment="1">
      <alignment vertical="center"/>
    </xf>
    <xf numFmtId="164" fontId="46" fillId="25" borderId="12" xfId="91" applyNumberFormat="1" applyFont="1" applyFill="1" applyBorder="1" applyAlignment="1">
      <alignment vertical="center"/>
    </xf>
    <xf numFmtId="164" fontId="40" fillId="25" borderId="12" xfId="91" applyNumberFormat="1" applyFont="1" applyFill="1" applyBorder="1" applyAlignment="1">
      <alignment vertical="center"/>
    </xf>
    <xf numFmtId="166" fontId="53" fillId="25" borderId="0" xfId="61" applyNumberFormat="1" applyFont="1" applyFill="1" applyAlignment="1">
      <alignment vertical="center"/>
    </xf>
    <xf numFmtId="164" fontId="46" fillId="25" borderId="13" xfId="91" applyNumberFormat="1" applyFont="1" applyFill="1" applyBorder="1" applyAlignment="1">
      <alignment vertical="center"/>
    </xf>
    <xf numFmtId="164" fontId="40" fillId="25" borderId="13" xfId="91" applyNumberFormat="1" applyFont="1" applyFill="1" applyBorder="1" applyAlignment="1">
      <alignment vertical="center"/>
    </xf>
    <xf numFmtId="164" fontId="40" fillId="50" borderId="13" xfId="91" applyNumberFormat="1" applyFont="1" applyFill="1" applyBorder="1" applyAlignment="1">
      <alignment vertical="center"/>
    </xf>
    <xf numFmtId="164" fontId="46" fillId="25" borderId="17" xfId="91" applyNumberFormat="1" applyFont="1" applyFill="1" applyBorder="1" applyAlignment="1">
      <alignment vertical="center"/>
    </xf>
    <xf numFmtId="164" fontId="46" fillId="25" borderId="14" xfId="91" applyNumberFormat="1" applyFont="1" applyFill="1" applyBorder="1" applyAlignment="1">
      <alignment vertical="center"/>
    </xf>
    <xf numFmtId="164" fontId="40" fillId="25" borderId="14" xfId="91" applyNumberFormat="1" applyFont="1" applyFill="1" applyBorder="1" applyAlignment="1">
      <alignment vertical="center"/>
    </xf>
    <xf numFmtId="3" fontId="40" fillId="25" borderId="14" xfId="0" applyNumberFormat="1" applyFont="1" applyFill="1" applyBorder="1" applyAlignment="1">
      <alignment vertical="center"/>
    </xf>
    <xf numFmtId="3" fontId="46" fillId="25" borderId="14" xfId="0" applyNumberFormat="1" applyFont="1" applyFill="1" applyBorder="1" applyAlignment="1">
      <alignment vertical="center"/>
    </xf>
    <xf numFmtId="164" fontId="40" fillId="50" borderId="14" xfId="91" applyNumberFormat="1" applyFont="1" applyFill="1" applyBorder="1" applyAlignment="1">
      <alignment vertical="center"/>
    </xf>
    <xf numFmtId="0" fontId="40" fillId="25" borderId="13" xfId="0" applyFont="1" applyFill="1" applyBorder="1" applyAlignment="1">
      <alignment vertical="center"/>
    </xf>
    <xf numFmtId="0" fontId="40" fillId="50" borderId="13" xfId="0" applyFont="1" applyFill="1" applyBorder="1" applyAlignment="1">
      <alignment vertical="center"/>
    </xf>
    <xf numFmtId="0" fontId="17" fillId="25" borderId="17" xfId="61" applyFont="1" applyFill="1" applyBorder="1" applyAlignment="1">
      <alignment vertical="center"/>
    </xf>
    <xf numFmtId="0" fontId="57" fillId="24" borderId="11" xfId="61" applyFont="1" applyFill="1" applyBorder="1" applyAlignment="1">
      <alignment vertical="center"/>
    </xf>
    <xf numFmtId="172" fontId="59" fillId="25" borderId="17" xfId="70" applyNumberFormat="1" applyFont="1" applyFill="1" applyBorder="1" applyAlignment="1">
      <alignment vertical="center"/>
    </xf>
    <xf numFmtId="172" fontId="59" fillId="25" borderId="12" xfId="70" applyNumberFormat="1" applyFont="1" applyFill="1" applyBorder="1" applyAlignment="1">
      <alignment vertical="center"/>
    </xf>
    <xf numFmtId="172" fontId="45" fillId="25" borderId="12" xfId="70" applyNumberFormat="1" applyFont="1" applyFill="1" applyBorder="1" applyAlignment="1">
      <alignment vertical="center"/>
    </xf>
    <xf numFmtId="172" fontId="45" fillId="25" borderId="12" xfId="0" applyNumberFormat="1" applyFont="1" applyFill="1" applyBorder="1" applyAlignment="1">
      <alignment vertical="center"/>
    </xf>
    <xf numFmtId="172" fontId="45" fillId="50" borderId="12" xfId="0" applyNumberFormat="1" applyFont="1" applyFill="1" applyBorder="1" applyAlignment="1">
      <alignment vertical="center"/>
    </xf>
    <xf numFmtId="175" fontId="53" fillId="25" borderId="0" xfId="61" applyNumberFormat="1" applyFont="1" applyFill="1" applyAlignment="1">
      <alignment vertical="center"/>
    </xf>
    <xf numFmtId="172" fontId="45" fillId="50" borderId="12" xfId="70" applyNumberFormat="1" applyFont="1" applyFill="1" applyBorder="1" applyAlignment="1">
      <alignment vertical="center"/>
    </xf>
    <xf numFmtId="0" fontId="56" fillId="24" borderId="0" xfId="61" applyFont="1" applyFill="1" applyAlignment="1">
      <alignment vertical="center"/>
    </xf>
    <xf numFmtId="164" fontId="46" fillId="25" borderId="43" xfId="91" applyNumberFormat="1" applyFont="1" applyFill="1" applyBorder="1" applyAlignment="1">
      <alignment vertical="center"/>
    </xf>
    <xf numFmtId="164" fontId="46" fillId="50" borderId="43" xfId="91" applyNumberFormat="1" applyFont="1" applyFill="1" applyBorder="1" applyAlignment="1">
      <alignment vertical="center"/>
    </xf>
    <xf numFmtId="0" fontId="41" fillId="24" borderId="18" xfId="61" applyFont="1" applyFill="1" applyBorder="1" applyAlignment="1">
      <alignment vertical="center"/>
    </xf>
    <xf numFmtId="0" fontId="17" fillId="24" borderId="28" xfId="61" applyFont="1" applyFill="1" applyBorder="1" applyAlignment="1">
      <alignment vertical="center"/>
    </xf>
    <xf numFmtId="164" fontId="53" fillId="25" borderId="29" xfId="91" applyNumberFormat="1" applyFont="1" applyFill="1" applyBorder="1" applyAlignment="1">
      <alignment vertical="center"/>
    </xf>
    <xf numFmtId="164" fontId="53" fillId="25" borderId="19" xfId="91" applyNumberFormat="1" applyFont="1" applyFill="1" applyBorder="1" applyAlignment="1">
      <alignment vertical="center"/>
    </xf>
    <xf numFmtId="164" fontId="17" fillId="25" borderId="13" xfId="91" applyNumberFormat="1" applyFont="1" applyFill="1" applyBorder="1" applyAlignment="1">
      <alignment vertical="center"/>
    </xf>
    <xf numFmtId="0" fontId="17" fillId="25" borderId="43" xfId="0" applyFont="1" applyFill="1" applyBorder="1" applyAlignment="1">
      <alignment vertical="center"/>
    </xf>
    <xf numFmtId="0" fontId="17" fillId="50" borderId="43" xfId="0" applyFont="1" applyFill="1" applyBorder="1" applyAlignment="1">
      <alignment vertical="center"/>
    </xf>
    <xf numFmtId="164" fontId="17" fillId="25" borderId="19" xfId="91" applyNumberFormat="1" applyFont="1" applyFill="1" applyBorder="1" applyAlignment="1">
      <alignment vertical="center"/>
    </xf>
    <xf numFmtId="164" fontId="17" fillId="50" borderId="19" xfId="91" applyNumberFormat="1" applyFont="1" applyFill="1" applyBorder="1" applyAlignment="1">
      <alignment vertical="center"/>
    </xf>
    <xf numFmtId="0" fontId="41" fillId="24" borderId="0" xfId="61" applyFont="1" applyFill="1" applyAlignment="1">
      <alignment vertical="center"/>
    </xf>
    <xf numFmtId="0" fontId="17" fillId="25" borderId="0" xfId="61" applyFont="1" applyFill="1" applyAlignment="1">
      <alignment vertical="center"/>
    </xf>
    <xf numFmtId="164" fontId="53" fillId="25" borderId="0" xfId="91" applyNumberFormat="1" applyFont="1" applyFill="1" applyBorder="1" applyAlignment="1">
      <alignment vertical="center"/>
    </xf>
    <xf numFmtId="164" fontId="53" fillId="25" borderId="0" xfId="91" applyNumberFormat="1" applyFont="1" applyFill="1" applyAlignment="1">
      <alignment vertical="center"/>
    </xf>
    <xf numFmtId="0" fontId="86" fillId="50" borderId="13" xfId="0" applyFont="1" applyFill="1" applyBorder="1" applyAlignment="1">
      <alignment vertical="center"/>
    </xf>
    <xf numFmtId="0" fontId="40" fillId="50" borderId="19" xfId="0" applyFont="1" applyFill="1" applyBorder="1" applyAlignment="1">
      <alignment vertical="center"/>
    </xf>
    <xf numFmtId="0" fontId="41" fillId="24" borderId="20" xfId="61" applyFont="1" applyFill="1" applyBorder="1" applyAlignment="1">
      <alignment horizontal="left" vertical="center"/>
    </xf>
    <xf numFmtId="0" fontId="17" fillId="24" borderId="14" xfId="61" applyFont="1" applyFill="1" applyBorder="1" applyAlignment="1">
      <alignment horizontal="left" vertical="center"/>
    </xf>
    <xf numFmtId="164" fontId="53" fillId="25" borderId="27" xfId="91" applyNumberFormat="1" applyFont="1" applyFill="1" applyBorder="1" applyAlignment="1">
      <alignment vertical="center"/>
    </xf>
    <xf numFmtId="164" fontId="53" fillId="25" borderId="15" xfId="91" applyNumberFormat="1" applyFont="1" applyFill="1" applyBorder="1" applyAlignment="1">
      <alignment vertical="center"/>
    </xf>
    <xf numFmtId="164" fontId="53" fillId="25" borderId="14" xfId="91" applyNumberFormat="1" applyFont="1" applyFill="1" applyBorder="1" applyAlignment="1">
      <alignment vertical="center"/>
    </xf>
    <xf numFmtId="0" fontId="86" fillId="50" borderId="12" xfId="0" applyFont="1" applyFill="1" applyBorder="1" applyAlignment="1">
      <alignment vertical="center"/>
    </xf>
    <xf numFmtId="0" fontId="40" fillId="50" borderId="12" xfId="0" applyFont="1" applyFill="1" applyBorder="1" applyAlignment="1">
      <alignment vertical="center"/>
    </xf>
    <xf numFmtId="0" fontId="46" fillId="25" borderId="17" xfId="61" applyFont="1" applyFill="1" applyBorder="1" applyAlignment="1">
      <alignment vertical="center"/>
    </xf>
    <xf numFmtId="164" fontId="53" fillId="25" borderId="17" xfId="61" applyNumberFormat="1" applyFont="1" applyFill="1" applyBorder="1" applyAlignment="1">
      <alignment vertical="center"/>
    </xf>
    <xf numFmtId="164" fontId="53" fillId="25" borderId="0" xfId="61" applyNumberFormat="1" applyFont="1" applyFill="1" applyAlignment="1">
      <alignment vertical="center"/>
    </xf>
    <xf numFmtId="164" fontId="53" fillId="25" borderId="12" xfId="61" applyNumberFormat="1" applyFont="1" applyFill="1" applyBorder="1" applyAlignment="1">
      <alignment vertical="center"/>
    </xf>
    <xf numFmtId="3" fontId="86" fillId="25" borderId="12" xfId="0" applyNumberFormat="1" applyFont="1" applyFill="1" applyBorder="1" applyAlignment="1">
      <alignment vertical="center"/>
    </xf>
    <xf numFmtId="3" fontId="86" fillId="50" borderId="12" xfId="0" applyNumberFormat="1" applyFont="1" applyFill="1" applyBorder="1" applyAlignment="1">
      <alignment vertical="center"/>
    </xf>
    <xf numFmtId="0" fontId="55" fillId="24" borderId="11" xfId="61" applyFont="1" applyFill="1" applyBorder="1" applyAlignment="1">
      <alignment horizontal="left" vertical="center"/>
    </xf>
    <xf numFmtId="0" fontId="59" fillId="25" borderId="17" xfId="61" applyFont="1" applyFill="1" applyBorder="1" applyAlignment="1">
      <alignment vertical="center"/>
    </xf>
    <xf numFmtId="164" fontId="59" fillId="25" borderId="17" xfId="61" applyNumberFormat="1" applyFont="1" applyFill="1" applyBorder="1" applyAlignment="1">
      <alignment vertical="center"/>
    </xf>
    <xf numFmtId="164" fontId="59" fillId="25" borderId="0" xfId="61" applyNumberFormat="1" applyFont="1" applyFill="1" applyAlignment="1">
      <alignment vertical="center"/>
    </xf>
    <xf numFmtId="164" fontId="45" fillId="25" borderId="12" xfId="61" applyNumberFormat="1" applyFont="1" applyFill="1" applyBorder="1" applyAlignment="1">
      <alignment vertical="center"/>
    </xf>
    <xf numFmtId="164" fontId="59" fillId="25" borderId="12" xfId="61" applyNumberFormat="1" applyFont="1" applyFill="1" applyBorder="1" applyAlignment="1">
      <alignment vertical="center"/>
    </xf>
    <xf numFmtId="3" fontId="87" fillId="25" borderId="12" xfId="0" applyNumberFormat="1" applyFont="1" applyFill="1" applyBorder="1" applyAlignment="1">
      <alignment vertical="center"/>
    </xf>
    <xf numFmtId="164" fontId="59" fillId="50" borderId="12" xfId="61" applyNumberFormat="1" applyFont="1" applyFill="1" applyBorder="1" applyAlignment="1">
      <alignment vertical="center"/>
    </xf>
    <xf numFmtId="3" fontId="87" fillId="50" borderId="12" xfId="0" applyNumberFormat="1" applyFont="1" applyFill="1" applyBorder="1" applyAlignment="1">
      <alignment vertical="center"/>
    </xf>
    <xf numFmtId="0" fontId="61" fillId="24" borderId="0" xfId="61" applyFont="1" applyFill="1" applyAlignment="1">
      <alignment vertical="center"/>
    </xf>
    <xf numFmtId="0" fontId="87" fillId="25" borderId="12" xfId="0" applyFont="1" applyFill="1" applyBorder="1" applyAlignment="1">
      <alignment vertical="center"/>
    </xf>
    <xf numFmtId="0" fontId="61" fillId="25" borderId="12" xfId="61" applyFont="1" applyFill="1" applyBorder="1" applyAlignment="1">
      <alignment vertical="center"/>
    </xf>
    <xf numFmtId="0" fontId="87" fillId="50" borderId="12" xfId="0" applyFont="1" applyFill="1" applyBorder="1" applyAlignment="1">
      <alignment vertical="center"/>
    </xf>
    <xf numFmtId="0" fontId="61" fillId="25" borderId="0" xfId="61" applyFont="1" applyFill="1" applyAlignment="1">
      <alignment vertical="center"/>
    </xf>
    <xf numFmtId="1" fontId="46" fillId="25" borderId="17" xfId="61" applyNumberFormat="1" applyFont="1" applyFill="1" applyBorder="1" applyAlignment="1">
      <alignment vertical="center"/>
    </xf>
    <xf numFmtId="164" fontId="46" fillId="25" borderId="17" xfId="61" applyNumberFormat="1" applyFont="1" applyFill="1" applyBorder="1" applyAlignment="1">
      <alignment vertical="center"/>
    </xf>
    <xf numFmtId="164" fontId="46" fillId="25" borderId="0" xfId="61" applyNumberFormat="1" applyFont="1" applyFill="1" applyAlignment="1">
      <alignment vertical="center"/>
    </xf>
    <xf numFmtId="164" fontId="46" fillId="25" borderId="12" xfId="61" applyNumberFormat="1" applyFont="1" applyFill="1" applyBorder="1" applyAlignment="1">
      <alignment vertical="center"/>
    </xf>
    <xf numFmtId="0" fontId="83" fillId="25" borderId="12" xfId="0" applyFont="1" applyFill="1" applyBorder="1" applyAlignment="1">
      <alignment vertical="center"/>
    </xf>
    <xf numFmtId="164" fontId="46" fillId="50" borderId="12" xfId="61" applyNumberFormat="1" applyFont="1" applyFill="1" applyBorder="1" applyAlignment="1">
      <alignment vertical="center"/>
    </xf>
    <xf numFmtId="3" fontId="83" fillId="50" borderId="12" xfId="0" applyNumberFormat="1" applyFont="1" applyFill="1" applyBorder="1" applyAlignment="1">
      <alignment vertical="center"/>
    </xf>
    <xf numFmtId="0" fontId="55" fillId="25" borderId="11" xfId="61" applyFont="1" applyFill="1" applyBorder="1" applyAlignment="1">
      <alignment horizontal="left" vertical="center"/>
    </xf>
    <xf numFmtId="164" fontId="45" fillId="25" borderId="17" xfId="61" applyNumberFormat="1" applyFont="1" applyFill="1" applyBorder="1" applyAlignment="1">
      <alignment vertical="center"/>
    </xf>
    <xf numFmtId="164" fontId="45" fillId="25" borderId="11" xfId="61" applyNumberFormat="1" applyFont="1" applyFill="1" applyBorder="1" applyAlignment="1">
      <alignment vertical="center"/>
    </xf>
    <xf numFmtId="0" fontId="45" fillId="25" borderId="12" xfId="0" applyFont="1" applyFill="1" applyBorder="1" applyAlignment="1">
      <alignment vertical="center"/>
    </xf>
    <xf numFmtId="164" fontId="45" fillId="50" borderId="12" xfId="61" applyNumberFormat="1" applyFont="1" applyFill="1" applyBorder="1" applyAlignment="1">
      <alignment vertical="center"/>
    </xf>
    <xf numFmtId="166" fontId="17" fillId="25" borderId="0" xfId="61" applyNumberFormat="1" applyFont="1" applyFill="1" applyAlignment="1">
      <alignment vertical="center"/>
    </xf>
    <xf numFmtId="3" fontId="45" fillId="50" borderId="12" xfId="0" applyNumberFormat="1" applyFont="1" applyFill="1" applyBorder="1" applyAlignment="1">
      <alignment vertical="center"/>
    </xf>
    <xf numFmtId="164" fontId="18" fillId="25" borderId="0" xfId="61" applyNumberFormat="1" applyFont="1" applyFill="1" applyAlignment="1">
      <alignment vertical="center"/>
    </xf>
    <xf numFmtId="0" fontId="45" fillId="50" borderId="12" xfId="0" applyFont="1" applyFill="1" applyBorder="1" applyAlignment="1">
      <alignment vertical="center"/>
    </xf>
    <xf numFmtId="164" fontId="59" fillId="25" borderId="12" xfId="61" quotePrefix="1" applyNumberFormat="1" applyFont="1" applyFill="1" applyBorder="1" applyAlignment="1">
      <alignment horizontal="right" vertical="center"/>
    </xf>
    <xf numFmtId="0" fontId="51" fillId="24" borderId="11" xfId="61" applyFont="1" applyFill="1" applyBorder="1" applyAlignment="1">
      <alignment horizontal="left" vertical="center"/>
    </xf>
    <xf numFmtId="164" fontId="46" fillId="25" borderId="28" xfId="61" applyNumberFormat="1" applyFont="1" applyFill="1" applyBorder="1" applyAlignment="1">
      <alignment vertical="center"/>
    </xf>
    <xf numFmtId="164" fontId="46" fillId="25" borderId="10" xfId="61" applyNumberFormat="1" applyFont="1" applyFill="1" applyBorder="1" applyAlignment="1">
      <alignment vertical="center"/>
    </xf>
    <xf numFmtId="164" fontId="46" fillId="25" borderId="13" xfId="61" applyNumberFormat="1" applyFont="1" applyFill="1" applyBorder="1" applyAlignment="1">
      <alignment vertical="center"/>
    </xf>
    <xf numFmtId="0" fontId="83" fillId="25" borderId="13" xfId="0" applyFont="1" applyFill="1" applyBorder="1" applyAlignment="1">
      <alignment vertical="center"/>
    </xf>
    <xf numFmtId="164" fontId="46" fillId="50" borderId="13" xfId="61" applyNumberFormat="1" applyFont="1" applyFill="1" applyBorder="1" applyAlignment="1">
      <alignment vertical="center"/>
    </xf>
    <xf numFmtId="3" fontId="83" fillId="50" borderId="13" xfId="0" applyNumberFormat="1" applyFont="1" applyFill="1" applyBorder="1" applyAlignment="1">
      <alignment vertical="center"/>
    </xf>
    <xf numFmtId="0" fontId="52" fillId="25" borderId="0" xfId="61" applyFont="1" applyFill="1" applyAlignment="1">
      <alignment vertical="center"/>
    </xf>
    <xf numFmtId="0" fontId="52" fillId="24" borderId="0" xfId="61" applyFont="1" applyFill="1" applyAlignment="1">
      <alignment vertical="center"/>
    </xf>
    <xf numFmtId="164" fontId="53" fillId="50" borderId="17" xfId="91" applyNumberFormat="1" applyFont="1" applyFill="1" applyBorder="1" applyAlignment="1">
      <alignment vertical="center"/>
    </xf>
    <xf numFmtId="0" fontId="17" fillId="24" borderId="17" xfId="61" applyFont="1" applyFill="1" applyBorder="1" applyAlignment="1">
      <alignment horizontal="center" vertical="center"/>
    </xf>
    <xf numFmtId="164" fontId="53" fillId="25" borderId="17" xfId="61" applyNumberFormat="1" applyFont="1" applyFill="1" applyBorder="1" applyAlignment="1">
      <alignment horizontal="center" vertical="center"/>
    </xf>
    <xf numFmtId="164" fontId="53" fillId="25" borderId="12" xfId="61" applyNumberFormat="1" applyFont="1" applyFill="1" applyBorder="1" applyAlignment="1">
      <alignment horizontal="center" vertical="center"/>
    </xf>
    <xf numFmtId="0" fontId="53" fillId="50" borderId="12" xfId="0" applyFont="1" applyFill="1" applyBorder="1" applyAlignment="1">
      <alignment vertical="center"/>
    </xf>
    <xf numFmtId="0" fontId="46" fillId="50" borderId="12" xfId="0" applyFont="1" applyFill="1" applyBorder="1" applyAlignment="1">
      <alignment vertical="center"/>
    </xf>
    <xf numFmtId="0" fontId="40" fillId="31" borderId="17" xfId="0" applyFont="1" applyFill="1" applyBorder="1" applyAlignment="1">
      <alignment vertical="center"/>
    </xf>
    <xf numFmtId="3" fontId="46" fillId="50" borderId="12" xfId="0" applyNumberFormat="1" applyFont="1" applyFill="1" applyBorder="1" applyAlignment="1">
      <alignment vertical="center"/>
    </xf>
    <xf numFmtId="0" fontId="83" fillId="31" borderId="17" xfId="0" applyFont="1" applyFill="1" applyBorder="1" applyAlignment="1">
      <alignment vertical="center"/>
    </xf>
    <xf numFmtId="0" fontId="40" fillId="25" borderId="18" xfId="61" applyFont="1" applyFill="1" applyBorder="1" applyAlignment="1">
      <alignment vertical="center"/>
    </xf>
    <xf numFmtId="164" fontId="17" fillId="25" borderId="0" xfId="92" applyNumberFormat="1" applyFont="1" applyFill="1" applyAlignment="1">
      <alignment vertical="center"/>
    </xf>
    <xf numFmtId="166" fontId="16" fillId="24" borderId="0" xfId="61" applyNumberFormat="1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16" fillId="24" borderId="0" xfId="61" applyFont="1" applyFill="1" applyAlignment="1">
      <alignment vertical="center" wrapText="1"/>
    </xf>
    <xf numFmtId="0" fontId="17" fillId="24" borderId="0" xfId="61" applyFont="1" applyFill="1" applyAlignment="1">
      <alignment vertical="center"/>
    </xf>
    <xf numFmtId="0" fontId="17" fillId="25" borderId="10" xfId="61" applyFont="1" applyFill="1" applyBorder="1" applyAlignment="1">
      <alignment vertical="center"/>
    </xf>
    <xf numFmtId="0" fontId="40" fillId="25" borderId="10" xfId="61" applyFont="1" applyFill="1" applyBorder="1" applyAlignment="1">
      <alignment vertical="center"/>
    </xf>
    <xf numFmtId="0" fontId="17" fillId="28" borderId="27" xfId="61" applyFont="1" applyFill="1" applyBorder="1" applyAlignment="1">
      <alignment horizontal="center" vertical="center"/>
    </xf>
    <xf numFmtId="0" fontId="16" fillId="24" borderId="17" xfId="61" applyFont="1" applyFill="1" applyBorder="1" applyAlignment="1">
      <alignment vertical="center"/>
    </xf>
    <xf numFmtId="0" fontId="18" fillId="28" borderId="17" xfId="61" applyFont="1" applyFill="1" applyBorder="1" applyAlignment="1">
      <alignment vertical="center"/>
    </xf>
    <xf numFmtId="0" fontId="17" fillId="26" borderId="10" xfId="61" applyFont="1" applyFill="1" applyBorder="1" applyAlignment="1">
      <alignment horizontal="left" vertical="center"/>
    </xf>
    <xf numFmtId="0" fontId="40" fillId="24" borderId="12" xfId="61" applyFont="1" applyFill="1" applyBorder="1" applyAlignment="1">
      <alignment vertical="center"/>
    </xf>
    <xf numFmtId="164" fontId="53" fillId="47" borderId="12" xfId="40" applyNumberFormat="1" applyFont="1" applyFill="1" applyBorder="1" applyAlignment="1">
      <alignment vertical="center"/>
    </xf>
    <xf numFmtId="164" fontId="17" fillId="47" borderId="0" xfId="40" applyNumberFormat="1" applyFont="1" applyFill="1" applyBorder="1" applyAlignment="1">
      <alignment vertical="center"/>
    </xf>
    <xf numFmtId="164" fontId="17" fillId="47" borderId="12" xfId="40" applyNumberFormat="1" applyFont="1" applyFill="1" applyBorder="1" applyAlignment="1">
      <alignment vertical="center"/>
    </xf>
    <xf numFmtId="176" fontId="18" fillId="25" borderId="0" xfId="61" applyNumberFormat="1" applyFont="1" applyFill="1" applyAlignment="1">
      <alignment vertical="center"/>
    </xf>
    <xf numFmtId="164" fontId="46" fillId="47" borderId="13" xfId="40" applyNumberFormat="1" applyFont="1" applyFill="1" applyBorder="1" applyAlignment="1">
      <alignment vertical="center"/>
    </xf>
    <xf numFmtId="164" fontId="40" fillId="47" borderId="0" xfId="40" applyNumberFormat="1" applyFont="1" applyFill="1" applyBorder="1" applyAlignment="1">
      <alignment vertical="center"/>
    </xf>
    <xf numFmtId="164" fontId="40" fillId="47" borderId="13" xfId="40" applyNumberFormat="1" applyFont="1" applyFill="1" applyBorder="1" applyAlignment="1">
      <alignment vertical="center"/>
    </xf>
    <xf numFmtId="164" fontId="46" fillId="47" borderId="14" xfId="40" applyNumberFormat="1" applyFont="1" applyFill="1" applyBorder="1" applyAlignment="1">
      <alignment vertical="center"/>
    </xf>
    <xf numFmtId="164" fontId="40" fillId="47" borderId="14" xfId="40" applyNumberFormat="1" applyFont="1" applyFill="1" applyBorder="1" applyAlignment="1">
      <alignment vertical="center"/>
    </xf>
    <xf numFmtId="1" fontId="83" fillId="47" borderId="17" xfId="61" applyNumberFormat="1" applyFont="1" applyFill="1" applyBorder="1" applyAlignment="1">
      <alignment vertical="center"/>
    </xf>
    <xf numFmtId="172" fontId="59" fillId="47" borderId="12" xfId="66" applyNumberFormat="1" applyFont="1" applyFill="1" applyBorder="1" applyAlignment="1">
      <alignment vertical="center"/>
    </xf>
    <xf numFmtId="172" fontId="59" fillId="25" borderId="12" xfId="66" applyNumberFormat="1" applyFont="1" applyFill="1" applyBorder="1" applyAlignment="1">
      <alignment vertical="center"/>
    </xf>
    <xf numFmtId="172" fontId="45" fillId="47" borderId="0" xfId="66" applyNumberFormat="1" applyFont="1" applyFill="1" applyBorder="1" applyAlignment="1">
      <alignment vertical="center"/>
    </xf>
    <xf numFmtId="172" fontId="45" fillId="47" borderId="12" xfId="66" applyNumberFormat="1" applyFont="1" applyFill="1" applyBorder="1" applyAlignment="1">
      <alignment vertical="center"/>
    </xf>
    <xf numFmtId="0" fontId="56" fillId="25" borderId="0" xfId="61" applyFont="1" applyFill="1" applyAlignment="1">
      <alignment vertical="center"/>
    </xf>
    <xf numFmtId="164" fontId="46" fillId="47" borderId="12" xfId="40" applyNumberFormat="1" applyFont="1" applyFill="1" applyBorder="1" applyAlignment="1">
      <alignment vertical="center"/>
    </xf>
    <xf numFmtId="0" fontId="17" fillId="47" borderId="26" xfId="61" applyFont="1" applyFill="1" applyBorder="1" applyAlignment="1">
      <alignment vertical="center"/>
    </xf>
    <xf numFmtId="164" fontId="53" fillId="47" borderId="19" xfId="61" applyNumberFormat="1" applyFont="1" applyFill="1" applyBorder="1" applyAlignment="1">
      <alignment vertical="center"/>
    </xf>
    <xf numFmtId="164" fontId="17" fillId="47" borderId="19" xfId="61" applyNumberFormat="1" applyFont="1" applyFill="1" applyBorder="1" applyAlignment="1">
      <alignment vertical="center"/>
    </xf>
    <xf numFmtId="0" fontId="18" fillId="47" borderId="0" xfId="61" applyFont="1" applyFill="1" applyAlignment="1">
      <alignment vertical="center"/>
    </xf>
    <xf numFmtId="0" fontId="17" fillId="47" borderId="14" xfId="61" applyFont="1" applyFill="1" applyBorder="1" applyAlignment="1">
      <alignment horizontal="left" vertical="center"/>
    </xf>
    <xf numFmtId="164" fontId="17" fillId="47" borderId="27" xfId="40" applyNumberFormat="1" applyFont="1" applyFill="1" applyBorder="1" applyAlignment="1">
      <alignment vertical="center"/>
    </xf>
    <xf numFmtId="164" fontId="17" fillId="47" borderId="14" xfId="40" applyNumberFormat="1" applyFont="1" applyFill="1" applyBorder="1" applyAlignment="1">
      <alignment vertical="center"/>
    </xf>
    <xf numFmtId="0" fontId="46" fillId="47" borderId="17" xfId="61" applyFont="1" applyFill="1" applyBorder="1" applyAlignment="1">
      <alignment vertical="center"/>
    </xf>
    <xf numFmtId="164" fontId="40" fillId="47" borderId="17" xfId="61" applyNumberFormat="1" applyFont="1" applyFill="1" applyBorder="1" applyAlignment="1">
      <alignment vertical="center"/>
    </xf>
    <xf numFmtId="0" fontId="59" fillId="47" borderId="17" xfId="61" applyFont="1" applyFill="1" applyBorder="1" applyAlignment="1">
      <alignment vertical="center"/>
    </xf>
    <xf numFmtId="164" fontId="45" fillId="47" borderId="17" xfId="61" applyNumberFormat="1" applyFont="1" applyFill="1" applyBorder="1" applyAlignment="1">
      <alignment vertical="center"/>
    </xf>
    <xf numFmtId="164" fontId="45" fillId="47" borderId="12" xfId="61" applyNumberFormat="1" applyFont="1" applyFill="1" applyBorder="1" applyAlignment="1">
      <alignment vertical="center"/>
    </xf>
    <xf numFmtId="164" fontId="45" fillId="47" borderId="0" xfId="61" applyNumberFormat="1" applyFont="1" applyFill="1" applyAlignment="1">
      <alignment vertical="center"/>
    </xf>
    <xf numFmtId="164" fontId="59" fillId="47" borderId="17" xfId="61" applyNumberFormat="1" applyFont="1" applyFill="1" applyBorder="1" applyAlignment="1">
      <alignment vertical="center"/>
    </xf>
    <xf numFmtId="164" fontId="59" fillId="47" borderId="12" xfId="61" applyNumberFormat="1" applyFont="1" applyFill="1" applyBorder="1" applyAlignment="1">
      <alignment vertical="center"/>
    </xf>
    <xf numFmtId="0" fontId="83" fillId="47" borderId="17" xfId="61" applyFont="1" applyFill="1" applyBorder="1" applyAlignment="1">
      <alignment vertical="center"/>
    </xf>
    <xf numFmtId="164" fontId="46" fillId="47" borderId="17" xfId="61" applyNumberFormat="1" applyFont="1" applyFill="1" applyBorder="1" applyAlignment="1">
      <alignment vertical="center"/>
    </xf>
    <xf numFmtId="164" fontId="46" fillId="47" borderId="12" xfId="61" applyNumberFormat="1" applyFont="1" applyFill="1" applyBorder="1" applyAlignment="1">
      <alignment vertical="center"/>
    </xf>
    <xf numFmtId="164" fontId="46" fillId="47" borderId="12" xfId="61" applyNumberFormat="1" applyFont="1" applyFill="1" applyBorder="1" applyAlignment="1">
      <alignment horizontal="right" vertical="center"/>
    </xf>
    <xf numFmtId="164" fontId="40" fillId="47" borderId="0" xfId="61" applyNumberFormat="1" applyFont="1" applyFill="1" applyAlignment="1">
      <alignment horizontal="right" vertical="center"/>
    </xf>
    <xf numFmtId="164" fontId="40" fillId="47" borderId="12" xfId="61" applyNumberFormat="1" applyFont="1" applyFill="1" applyBorder="1" applyAlignment="1">
      <alignment horizontal="right" vertical="center"/>
    </xf>
    <xf numFmtId="1" fontId="46" fillId="47" borderId="17" xfId="61" applyNumberFormat="1" applyFont="1" applyFill="1" applyBorder="1" applyAlignment="1">
      <alignment vertical="center"/>
    </xf>
    <xf numFmtId="164" fontId="46" fillId="47" borderId="0" xfId="61" applyNumberFormat="1" applyFont="1" applyFill="1" applyAlignment="1">
      <alignment vertical="center"/>
    </xf>
    <xf numFmtId="164" fontId="53" fillId="47" borderId="31" xfId="44" applyNumberFormat="1" applyFont="1" applyFill="1" applyBorder="1" applyAlignment="1">
      <alignment horizontal="right" vertical="center"/>
    </xf>
    <xf numFmtId="164" fontId="53" fillId="47" borderId="25" xfId="44" applyNumberFormat="1" applyFont="1" applyFill="1" applyBorder="1" applyAlignment="1">
      <alignment horizontal="right" vertical="center"/>
    </xf>
    <xf numFmtId="164" fontId="17" fillId="47" borderId="0" xfId="44" applyNumberFormat="1" applyFont="1" applyFill="1" applyBorder="1" applyAlignment="1">
      <alignment horizontal="right" vertical="center"/>
    </xf>
    <xf numFmtId="164" fontId="17" fillId="47" borderId="25" xfId="44" applyNumberFormat="1" applyFont="1" applyFill="1" applyBorder="1" applyAlignment="1">
      <alignment horizontal="right" vertical="center"/>
    </xf>
    <xf numFmtId="164" fontId="53" fillId="47" borderId="17" xfId="61" applyNumberFormat="1" applyFont="1" applyFill="1" applyBorder="1" applyAlignment="1">
      <alignment vertical="center"/>
    </xf>
    <xf numFmtId="164" fontId="53" fillId="47" borderId="12" xfId="61" applyNumberFormat="1" applyFont="1" applyFill="1" applyBorder="1" applyAlignment="1">
      <alignment vertical="center"/>
    </xf>
    <xf numFmtId="0" fontId="17" fillId="47" borderId="17" xfId="61" applyFont="1" applyFill="1" applyBorder="1" applyAlignment="1">
      <alignment horizontal="centerContinuous" vertical="center"/>
    </xf>
    <xf numFmtId="164" fontId="53" fillId="47" borderId="17" xfId="61" applyNumberFormat="1" applyFont="1" applyFill="1" applyBorder="1" applyAlignment="1">
      <alignment horizontal="centerContinuous" vertical="center"/>
    </xf>
    <xf numFmtId="164" fontId="53" fillId="47" borderId="12" xfId="61" applyNumberFormat="1" applyFont="1" applyFill="1" applyBorder="1" applyAlignment="1">
      <alignment horizontal="centerContinuous" vertical="center"/>
    </xf>
    <xf numFmtId="164" fontId="46" fillId="47" borderId="17" xfId="40" applyNumberFormat="1" applyFont="1" applyFill="1" applyBorder="1" applyAlignment="1">
      <alignment vertical="center"/>
    </xf>
    <xf numFmtId="0" fontId="83" fillId="25" borderId="17" xfId="61" applyFont="1" applyFill="1" applyBorder="1" applyAlignment="1">
      <alignment vertical="center"/>
    </xf>
    <xf numFmtId="164" fontId="46" fillId="47" borderId="33" xfId="40" applyNumberFormat="1" applyFont="1" applyFill="1" applyBorder="1" applyAlignment="1">
      <alignment vertical="center"/>
    </xf>
    <xf numFmtId="164" fontId="46" fillId="47" borderId="24" xfId="40" applyNumberFormat="1" applyFont="1" applyFill="1" applyBorder="1" applyAlignment="1">
      <alignment vertical="center"/>
    </xf>
    <xf numFmtId="164" fontId="40" fillId="47" borderId="24" xfId="40" applyNumberFormat="1" applyFont="1" applyFill="1" applyBorder="1" applyAlignment="1">
      <alignment vertical="center"/>
    </xf>
    <xf numFmtId="0" fontId="40" fillId="47" borderId="28" xfId="61" applyFont="1" applyFill="1" applyBorder="1" applyAlignment="1">
      <alignment vertical="center"/>
    </xf>
    <xf numFmtId="164" fontId="53" fillId="47" borderId="31" xfId="40" applyNumberFormat="1" applyFont="1" applyFill="1" applyBorder="1" applyAlignment="1">
      <alignment vertical="center"/>
    </xf>
    <xf numFmtId="164" fontId="53" fillId="47" borderId="25" xfId="40" applyNumberFormat="1" applyFont="1" applyFill="1" applyBorder="1" applyAlignment="1">
      <alignment vertical="center"/>
    </xf>
    <xf numFmtId="164" fontId="17" fillId="47" borderId="25" xfId="40" applyNumberFormat="1" applyFont="1" applyFill="1" applyBorder="1" applyAlignment="1">
      <alignment vertical="center"/>
    </xf>
    <xf numFmtId="166" fontId="16" fillId="47" borderId="0" xfId="61" applyNumberFormat="1" applyFont="1" applyFill="1" applyAlignment="1">
      <alignment vertical="center"/>
    </xf>
    <xf numFmtId="0" fontId="49" fillId="47" borderId="0" xfId="61" applyFont="1" applyFill="1" applyAlignment="1">
      <alignment vertical="center"/>
    </xf>
    <xf numFmtId="0" fontId="40" fillId="25" borderId="32" xfId="61" applyFont="1" applyFill="1" applyBorder="1" applyAlignment="1">
      <alignment vertical="center"/>
    </xf>
    <xf numFmtId="0" fontId="46" fillId="25" borderId="0" xfId="61" applyFont="1" applyFill="1" applyAlignment="1">
      <alignment vertical="center"/>
    </xf>
    <xf numFmtId="0" fontId="17" fillId="28" borderId="12" xfId="61" applyFont="1" applyFill="1" applyBorder="1" applyAlignment="1">
      <alignment horizontal="center" vertical="center"/>
    </xf>
    <xf numFmtId="170" fontId="18" fillId="47" borderId="12" xfId="40" applyNumberFormat="1" applyFont="1" applyFill="1" applyBorder="1" applyAlignment="1">
      <alignment vertical="center"/>
    </xf>
    <xf numFmtId="173" fontId="18" fillId="47" borderId="12" xfId="40" applyNumberFormat="1" applyFont="1" applyFill="1" applyBorder="1" applyAlignment="1">
      <alignment vertical="center"/>
    </xf>
    <xf numFmtId="164" fontId="18" fillId="47" borderId="0" xfId="61" applyNumberFormat="1" applyFont="1" applyFill="1" applyAlignment="1">
      <alignment vertical="center"/>
    </xf>
    <xf numFmtId="170" fontId="17" fillId="47" borderId="12" xfId="40" applyNumberFormat="1" applyFont="1" applyFill="1" applyBorder="1" applyAlignment="1">
      <alignment vertical="center"/>
    </xf>
    <xf numFmtId="170" fontId="18" fillId="47" borderId="0" xfId="61" applyNumberFormat="1" applyFont="1" applyFill="1" applyAlignment="1">
      <alignment vertical="center"/>
    </xf>
    <xf numFmtId="176" fontId="52" fillId="24" borderId="0" xfId="61" applyNumberFormat="1" applyFont="1" applyFill="1" applyAlignment="1">
      <alignment vertical="center"/>
    </xf>
    <xf numFmtId="170" fontId="18" fillId="24" borderId="0" xfId="61" applyNumberFormat="1" applyFont="1" applyFill="1" applyAlignment="1">
      <alignment vertical="center"/>
    </xf>
    <xf numFmtId="0" fontId="46" fillId="47" borderId="10" xfId="61" applyFont="1" applyFill="1" applyBorder="1" applyAlignment="1">
      <alignment vertical="center"/>
    </xf>
    <xf numFmtId="164" fontId="46" fillId="47" borderId="13" xfId="61" applyNumberFormat="1" applyFont="1" applyFill="1" applyBorder="1" applyAlignment="1">
      <alignment vertical="center"/>
    </xf>
    <xf numFmtId="170" fontId="46" fillId="47" borderId="13" xfId="61" applyNumberFormat="1" applyFont="1" applyFill="1" applyBorder="1" applyAlignment="1">
      <alignment vertical="center"/>
    </xf>
    <xf numFmtId="170" fontId="16" fillId="47" borderId="0" xfId="61" applyNumberFormat="1" applyFont="1" applyFill="1" applyAlignment="1">
      <alignment vertical="center"/>
    </xf>
    <xf numFmtId="164" fontId="46" fillId="47" borderId="14" xfId="61" applyNumberFormat="1" applyFont="1" applyFill="1" applyBorder="1" applyAlignment="1">
      <alignment vertical="center"/>
    </xf>
    <xf numFmtId="170" fontId="46" fillId="47" borderId="14" xfId="61" applyNumberFormat="1" applyFont="1" applyFill="1" applyBorder="1" applyAlignment="1">
      <alignment vertical="center"/>
    </xf>
    <xf numFmtId="0" fontId="95" fillId="47" borderId="10" xfId="61" applyFont="1" applyFill="1" applyBorder="1" applyAlignment="1">
      <alignment vertical="center"/>
    </xf>
    <xf numFmtId="0" fontId="53" fillId="47" borderId="0" xfId="61" applyFont="1" applyFill="1" applyAlignment="1">
      <alignment vertical="center"/>
    </xf>
    <xf numFmtId="170" fontId="53" fillId="47" borderId="12" xfId="61" applyNumberFormat="1" applyFont="1" applyFill="1" applyBorder="1" applyAlignment="1">
      <alignment vertical="center"/>
    </xf>
    <xf numFmtId="170" fontId="56" fillId="47" borderId="0" xfId="61" applyNumberFormat="1" applyFont="1" applyFill="1" applyAlignment="1">
      <alignment vertical="center"/>
    </xf>
    <xf numFmtId="164" fontId="45" fillId="47" borderId="12" xfId="40" applyNumberFormat="1" applyFont="1" applyFill="1" applyBorder="1" applyAlignment="1">
      <alignment vertical="center"/>
    </xf>
    <xf numFmtId="170" fontId="45" fillId="47" borderId="12" xfId="40" applyNumberFormat="1" applyFont="1" applyFill="1" applyBorder="1" applyAlignment="1">
      <alignment vertical="center"/>
    </xf>
    <xf numFmtId="170" fontId="17" fillId="47" borderId="19" xfId="61" applyNumberFormat="1" applyFont="1" applyFill="1" applyBorder="1" applyAlignment="1">
      <alignment vertical="center"/>
    </xf>
    <xf numFmtId="170" fontId="17" fillId="47" borderId="0" xfId="40" applyNumberFormat="1" applyFont="1" applyFill="1" applyBorder="1" applyAlignment="1">
      <alignment vertical="center"/>
    </xf>
    <xf numFmtId="0" fontId="41" fillId="24" borderId="0" xfId="61" applyFont="1" applyFill="1" applyAlignment="1">
      <alignment horizontal="left" vertical="center"/>
    </xf>
    <xf numFmtId="164" fontId="17" fillId="25" borderId="0" xfId="40" applyNumberFormat="1" applyFont="1" applyFill="1" applyBorder="1" applyAlignment="1">
      <alignment vertical="center"/>
    </xf>
    <xf numFmtId="170" fontId="17" fillId="25" borderId="0" xfId="40" applyNumberFormat="1" applyFont="1" applyFill="1" applyBorder="1" applyAlignment="1">
      <alignment vertical="center"/>
    </xf>
    <xf numFmtId="170" fontId="16" fillId="25" borderId="0" xfId="61" applyNumberFormat="1" applyFont="1" applyFill="1" applyAlignment="1">
      <alignment vertical="center"/>
    </xf>
    <xf numFmtId="0" fontId="41" fillId="47" borderId="14" xfId="61" applyFont="1" applyFill="1" applyBorder="1" applyAlignment="1">
      <alignment horizontal="left" vertical="center"/>
    </xf>
    <xf numFmtId="164" fontId="40" fillId="47" borderId="27" xfId="61" applyNumberFormat="1" applyFont="1" applyFill="1" applyBorder="1" applyAlignment="1">
      <alignment vertical="center"/>
    </xf>
    <xf numFmtId="170" fontId="40" fillId="47" borderId="14" xfId="61" applyNumberFormat="1" applyFont="1" applyFill="1" applyBorder="1" applyAlignment="1">
      <alignment vertical="center"/>
    </xf>
    <xf numFmtId="170" fontId="40" fillId="47" borderId="12" xfId="61" applyNumberFormat="1" applyFont="1" applyFill="1" applyBorder="1" applyAlignment="1">
      <alignment vertical="center"/>
    </xf>
    <xf numFmtId="0" fontId="84" fillId="47" borderId="17" xfId="61" applyFont="1" applyFill="1" applyBorder="1" applyAlignment="1">
      <alignment vertical="center"/>
    </xf>
    <xf numFmtId="164" fontId="17" fillId="47" borderId="35" xfId="61" applyNumberFormat="1" applyFont="1" applyFill="1" applyBorder="1" applyAlignment="1">
      <alignment vertical="center"/>
    </xf>
    <xf numFmtId="164" fontId="17" fillId="47" borderId="34" xfId="61" applyNumberFormat="1" applyFont="1" applyFill="1" applyBorder="1" applyAlignment="1">
      <alignment vertical="center"/>
    </xf>
    <xf numFmtId="170" fontId="17" fillId="47" borderId="34" xfId="61" applyNumberFormat="1" applyFont="1" applyFill="1" applyBorder="1" applyAlignment="1">
      <alignment vertical="center"/>
    </xf>
    <xf numFmtId="164" fontId="17" fillId="25" borderId="34" xfId="61" applyNumberFormat="1" applyFont="1" applyFill="1" applyBorder="1" applyAlignment="1">
      <alignment vertical="center"/>
    </xf>
    <xf numFmtId="0" fontId="41" fillId="47" borderId="17" xfId="61" applyFont="1" applyFill="1" applyBorder="1" applyAlignment="1">
      <alignment horizontal="left" vertical="center"/>
    </xf>
    <xf numFmtId="164" fontId="17" fillId="47" borderId="17" xfId="40" applyNumberFormat="1" applyFont="1" applyFill="1" applyBorder="1" applyAlignment="1">
      <alignment vertical="center"/>
    </xf>
    <xf numFmtId="164" fontId="17" fillId="25" borderId="12" xfId="40" applyNumberFormat="1" applyFont="1" applyFill="1" applyBorder="1" applyAlignment="1">
      <alignment vertical="center"/>
    </xf>
    <xf numFmtId="170" fontId="17" fillId="25" borderId="12" xfId="40" applyNumberFormat="1" applyFont="1" applyFill="1" applyBorder="1" applyAlignment="1">
      <alignment vertical="center"/>
    </xf>
    <xf numFmtId="0" fontId="91" fillId="25" borderId="11" xfId="61" applyFont="1" applyFill="1" applyBorder="1" applyAlignment="1">
      <alignment horizontal="left" vertical="center"/>
    </xf>
    <xf numFmtId="0" fontId="53" fillId="47" borderId="17" xfId="61" applyFont="1" applyFill="1" applyBorder="1" applyAlignment="1">
      <alignment vertical="center"/>
    </xf>
    <xf numFmtId="0" fontId="57" fillId="24" borderId="11" xfId="61" applyFont="1" applyFill="1" applyBorder="1" applyAlignment="1">
      <alignment horizontal="left" vertical="center"/>
    </xf>
    <xf numFmtId="170" fontId="45" fillId="47" borderId="12" xfId="61" applyNumberFormat="1" applyFont="1" applyFill="1" applyBorder="1" applyAlignment="1">
      <alignment vertical="center"/>
    </xf>
    <xf numFmtId="0" fontId="86" fillId="47" borderId="11" xfId="61" applyFont="1" applyFill="1" applyBorder="1" applyAlignment="1">
      <alignment vertical="center"/>
    </xf>
    <xf numFmtId="9" fontId="45" fillId="47" borderId="17" xfId="66" applyFont="1" applyFill="1" applyBorder="1" applyAlignment="1">
      <alignment vertical="center"/>
    </xf>
    <xf numFmtId="9" fontId="45" fillId="47" borderId="12" xfId="66" applyFont="1" applyFill="1" applyBorder="1" applyAlignment="1">
      <alignment vertical="center"/>
    </xf>
    <xf numFmtId="9" fontId="93" fillId="47" borderId="12" xfId="66" applyFont="1" applyFill="1" applyBorder="1" applyAlignment="1">
      <alignment vertical="center"/>
    </xf>
    <xf numFmtId="170" fontId="61" fillId="47" borderId="0" xfId="61" applyNumberFormat="1" applyFont="1" applyFill="1" applyAlignment="1">
      <alignment vertical="center"/>
    </xf>
    <xf numFmtId="0" fontId="60" fillId="24" borderId="0" xfId="61" applyFont="1" applyFill="1" applyAlignment="1">
      <alignment vertical="center"/>
    </xf>
    <xf numFmtId="0" fontId="58" fillId="24" borderId="11" xfId="61" applyFont="1" applyFill="1" applyBorder="1" applyAlignment="1">
      <alignment horizontal="left" vertical="center"/>
    </xf>
    <xf numFmtId="164" fontId="17" fillId="47" borderId="17" xfId="61" applyNumberFormat="1" applyFont="1" applyFill="1" applyBorder="1" applyAlignment="1">
      <alignment vertical="center"/>
    </xf>
    <xf numFmtId="170" fontId="17" fillId="47" borderId="12" xfId="61" applyNumberFormat="1" applyFont="1" applyFill="1" applyBorder="1" applyAlignment="1">
      <alignment vertical="center"/>
    </xf>
    <xf numFmtId="164" fontId="17" fillId="47" borderId="17" xfId="61" applyNumberFormat="1" applyFont="1" applyFill="1" applyBorder="1" applyAlignment="1">
      <alignment horizontal="centerContinuous" vertical="center"/>
    </xf>
    <xf numFmtId="170" fontId="17" fillId="47" borderId="12" xfId="61" applyNumberFormat="1" applyFont="1" applyFill="1" applyBorder="1" applyAlignment="1">
      <alignment horizontal="centerContinuous" vertical="center"/>
    </xf>
    <xf numFmtId="164" fontId="40" fillId="47" borderId="17" xfId="40" applyNumberFormat="1" applyFont="1" applyFill="1" applyBorder="1" applyAlignment="1">
      <alignment vertical="center"/>
    </xf>
    <xf numFmtId="170" fontId="40" fillId="47" borderId="12" xfId="40" applyNumberFormat="1" applyFont="1" applyFill="1" applyBorder="1" applyAlignment="1">
      <alignment vertical="center"/>
    </xf>
    <xf numFmtId="0" fontId="17" fillId="25" borderId="18" xfId="61" applyFont="1" applyFill="1" applyBorder="1" applyAlignment="1">
      <alignment vertical="center"/>
    </xf>
    <xf numFmtId="0" fontId="17" fillId="47" borderId="28" xfId="61" applyFont="1" applyFill="1" applyBorder="1" applyAlignment="1">
      <alignment vertical="center"/>
    </xf>
    <xf numFmtId="164" fontId="17" fillId="47" borderId="29" xfId="40" applyNumberFormat="1" applyFont="1" applyFill="1" applyBorder="1" applyAlignment="1">
      <alignment vertical="center"/>
    </xf>
    <xf numFmtId="164" fontId="17" fillId="47" borderId="19" xfId="40" applyNumberFormat="1" applyFont="1" applyFill="1" applyBorder="1" applyAlignment="1">
      <alignment vertical="center"/>
    </xf>
    <xf numFmtId="176" fontId="18" fillId="24" borderId="0" xfId="61" applyNumberFormat="1" applyFont="1" applyFill="1" applyAlignment="1">
      <alignment vertical="center"/>
    </xf>
    <xf numFmtId="0" fontId="40" fillId="25" borderId="21" xfId="61" applyFont="1" applyFill="1" applyBorder="1" applyAlignment="1">
      <alignment vertical="center"/>
    </xf>
    <xf numFmtId="164" fontId="17" fillId="25" borderId="0" xfId="41" applyNumberFormat="1" applyFont="1" applyFill="1" applyBorder="1" applyAlignment="1">
      <alignment vertical="center"/>
    </xf>
    <xf numFmtId="0" fontId="17" fillId="46" borderId="14" xfId="61" applyFont="1" applyFill="1" applyBorder="1" applyAlignment="1">
      <alignment vertical="center"/>
    </xf>
    <xf numFmtId="170" fontId="18" fillId="25" borderId="12" xfId="40" applyNumberFormat="1" applyFont="1" applyFill="1" applyBorder="1" applyAlignment="1">
      <alignment vertical="center"/>
    </xf>
    <xf numFmtId="0" fontId="52" fillId="47" borderId="0" xfId="61" applyFont="1" applyFill="1" applyAlignment="1">
      <alignment vertical="center"/>
    </xf>
    <xf numFmtId="0" fontId="46" fillId="25" borderId="10" xfId="61" applyFont="1" applyFill="1" applyBorder="1" applyAlignment="1">
      <alignment vertical="center"/>
    </xf>
    <xf numFmtId="164" fontId="46" fillId="25" borderId="14" xfId="61" applyNumberFormat="1" applyFont="1" applyFill="1" applyBorder="1" applyAlignment="1">
      <alignment vertical="center"/>
    </xf>
    <xf numFmtId="164" fontId="46" fillId="25" borderId="13" xfId="61" applyNumberFormat="1" applyFont="1" applyFill="1" applyBorder="1" applyAlignment="1">
      <alignment horizontal="right" vertical="center"/>
    </xf>
    <xf numFmtId="0" fontId="53" fillId="25" borderId="0" xfId="61" applyFont="1" applyFill="1" applyAlignment="1">
      <alignment vertical="center"/>
    </xf>
    <xf numFmtId="0" fontId="56" fillId="47" borderId="0" xfId="61" applyFont="1" applyFill="1" applyAlignment="1">
      <alignment vertical="center"/>
    </xf>
    <xf numFmtId="0" fontId="17" fillId="25" borderId="26" xfId="61" applyFont="1" applyFill="1" applyBorder="1" applyAlignment="1">
      <alignment vertical="center"/>
    </xf>
    <xf numFmtId="164" fontId="17" fillId="25" borderId="19" xfId="61" applyNumberFormat="1" applyFont="1" applyFill="1" applyBorder="1" applyAlignment="1">
      <alignment vertical="center"/>
    </xf>
    <xf numFmtId="0" fontId="41" fillId="47" borderId="0" xfId="61" applyFont="1" applyFill="1" applyAlignment="1">
      <alignment vertical="center"/>
    </xf>
    <xf numFmtId="0" fontId="41" fillId="47" borderId="20" xfId="61" applyFont="1" applyFill="1" applyBorder="1" applyAlignment="1">
      <alignment horizontal="left" vertical="center"/>
    </xf>
    <xf numFmtId="0" fontId="17" fillId="25" borderId="14" xfId="61" applyFont="1" applyFill="1" applyBorder="1" applyAlignment="1">
      <alignment horizontal="left" vertical="center"/>
    </xf>
    <xf numFmtId="164" fontId="17" fillId="25" borderId="14" xfId="40" applyNumberFormat="1" applyFont="1" applyFill="1" applyBorder="1" applyAlignment="1">
      <alignment vertical="center"/>
    </xf>
    <xf numFmtId="164" fontId="17" fillId="25" borderId="27" xfId="40" applyNumberFormat="1" applyFont="1" applyFill="1" applyBorder="1" applyAlignment="1">
      <alignment vertical="center"/>
    </xf>
    <xf numFmtId="0" fontId="41" fillId="47" borderId="11" xfId="61" applyFont="1" applyFill="1" applyBorder="1" applyAlignment="1">
      <alignment horizontal="left" vertical="center"/>
    </xf>
    <xf numFmtId="164" fontId="40" fillId="25" borderId="17" xfId="61" applyNumberFormat="1" applyFont="1" applyFill="1" applyBorder="1" applyAlignment="1">
      <alignment vertical="center"/>
    </xf>
    <xf numFmtId="164" fontId="40" fillId="25" borderId="11" xfId="61" applyNumberFormat="1" applyFont="1" applyFill="1" applyBorder="1" applyAlignment="1">
      <alignment vertical="center"/>
    </xf>
    <xf numFmtId="172" fontId="45" fillId="25" borderId="12" xfId="66" applyNumberFormat="1" applyFont="1" applyFill="1" applyBorder="1" applyAlignment="1">
      <alignment vertical="center"/>
    </xf>
    <xf numFmtId="172" fontId="45" fillId="25" borderId="17" xfId="66" applyNumberFormat="1" applyFont="1" applyFill="1" applyBorder="1" applyAlignment="1">
      <alignment vertical="center"/>
    </xf>
    <xf numFmtId="172" fontId="40" fillId="25" borderId="12" xfId="66" applyNumberFormat="1" applyFont="1" applyFill="1" applyBorder="1" applyAlignment="1">
      <alignment vertical="center"/>
    </xf>
    <xf numFmtId="0" fontId="46" fillId="25" borderId="27" xfId="61" applyFont="1" applyFill="1" applyBorder="1" applyAlignment="1">
      <alignment vertical="center"/>
    </xf>
    <xf numFmtId="164" fontId="40" fillId="25" borderId="15" xfId="61" applyNumberFormat="1" applyFont="1" applyFill="1" applyBorder="1" applyAlignment="1">
      <alignment vertical="center"/>
    </xf>
    <xf numFmtId="164" fontId="40" fillId="25" borderId="0" xfId="61" applyNumberFormat="1" applyFont="1" applyFill="1" applyAlignment="1">
      <alignment vertical="center"/>
    </xf>
    <xf numFmtId="0" fontId="41" fillId="47" borderId="18" xfId="61" applyFont="1" applyFill="1" applyBorder="1" applyAlignment="1">
      <alignment horizontal="left" vertical="center"/>
    </xf>
    <xf numFmtId="0" fontId="46" fillId="25" borderId="28" xfId="61" applyFont="1" applyFill="1" applyBorder="1" applyAlignment="1">
      <alignment vertical="center"/>
    </xf>
    <xf numFmtId="164" fontId="40" fillId="25" borderId="10" xfId="61" applyNumberFormat="1" applyFont="1" applyFill="1" applyBorder="1" applyAlignment="1">
      <alignment vertical="center"/>
    </xf>
    <xf numFmtId="164" fontId="40" fillId="25" borderId="13" xfId="61" applyNumberFormat="1" applyFont="1" applyFill="1" applyBorder="1" applyAlignment="1">
      <alignment horizontal="right" vertical="center"/>
    </xf>
    <xf numFmtId="164" fontId="40" fillId="25" borderId="13" xfId="40" applyNumberFormat="1" applyFont="1" applyFill="1" applyBorder="1" applyAlignment="1">
      <alignment horizontal="right" vertical="center"/>
    </xf>
    <xf numFmtId="164" fontId="17" fillId="47" borderId="20" xfId="40" applyNumberFormat="1" applyFont="1" applyFill="1" applyBorder="1" applyAlignment="1">
      <alignment vertical="center"/>
    </xf>
    <xf numFmtId="164" fontId="40" fillId="47" borderId="11" xfId="61" applyNumberFormat="1" applyFont="1" applyFill="1" applyBorder="1" applyAlignment="1">
      <alignment vertical="center"/>
    </xf>
    <xf numFmtId="0" fontId="40" fillId="47" borderId="11" xfId="61" applyFont="1" applyFill="1" applyBorder="1" applyAlignment="1">
      <alignment vertical="center"/>
    </xf>
    <xf numFmtId="164" fontId="17" fillId="47" borderId="42" xfId="44" applyNumberFormat="1" applyFont="1" applyFill="1" applyBorder="1" applyAlignment="1">
      <alignment horizontal="right" vertical="center"/>
    </xf>
    <xf numFmtId="164" fontId="17" fillId="47" borderId="44" xfId="44" applyNumberFormat="1" applyFont="1" applyFill="1" applyBorder="1" applyAlignment="1">
      <alignment horizontal="right" vertical="center"/>
    </xf>
    <xf numFmtId="164" fontId="17" fillId="47" borderId="23" xfId="44" applyNumberFormat="1" applyFont="1" applyFill="1" applyBorder="1" applyAlignment="1">
      <alignment horizontal="right" vertical="center"/>
    </xf>
    <xf numFmtId="164" fontId="17" fillId="47" borderId="11" xfId="61" applyNumberFormat="1" applyFont="1" applyFill="1" applyBorder="1" applyAlignment="1">
      <alignment vertical="center"/>
    </xf>
    <xf numFmtId="164" fontId="17" fillId="47" borderId="11" xfId="61" applyNumberFormat="1" applyFont="1" applyFill="1" applyBorder="1" applyAlignment="1">
      <alignment horizontal="centerContinuous" vertical="center"/>
    </xf>
    <xf numFmtId="164" fontId="40" fillId="47" borderId="11" xfId="61" applyNumberFormat="1" applyFont="1" applyFill="1" applyBorder="1" applyAlignment="1">
      <alignment horizontal="centerContinuous" vertical="center"/>
    </xf>
    <xf numFmtId="164" fontId="40" fillId="47" borderId="11" xfId="40" applyNumberFormat="1" applyFont="1" applyFill="1" applyBorder="1" applyAlignment="1">
      <alignment vertical="center"/>
    </xf>
    <xf numFmtId="0" fontId="40" fillId="47" borderId="18" xfId="61" applyFont="1" applyFill="1" applyBorder="1" applyAlignment="1">
      <alignment vertical="center"/>
    </xf>
    <xf numFmtId="164" fontId="17" fillId="47" borderId="31" xfId="40" applyNumberFormat="1" applyFont="1" applyFill="1" applyBorder="1" applyAlignment="1">
      <alignment vertical="center"/>
    </xf>
    <xf numFmtId="164" fontId="17" fillId="47" borderId="45" xfId="40" applyNumberFormat="1" applyFont="1" applyFill="1" applyBorder="1" applyAlignment="1">
      <alignment vertical="center"/>
    </xf>
    <xf numFmtId="0" fontId="40" fillId="47" borderId="21" xfId="61" applyFont="1" applyFill="1" applyBorder="1" applyAlignment="1">
      <alignment vertical="center"/>
    </xf>
    <xf numFmtId="0" fontId="17" fillId="26" borderId="20" xfId="61" applyFont="1" applyFill="1" applyBorder="1" applyAlignment="1">
      <alignment vertical="center"/>
    </xf>
    <xf numFmtId="0" fontId="40" fillId="26" borderId="10" xfId="61" applyFont="1" applyFill="1" applyBorder="1" applyAlignment="1">
      <alignment vertical="center"/>
    </xf>
    <xf numFmtId="0" fontId="41" fillId="25" borderId="11" xfId="61" applyFont="1" applyFill="1" applyBorder="1" applyAlignment="1">
      <alignment vertical="center"/>
    </xf>
    <xf numFmtId="167" fontId="17" fillId="24" borderId="12" xfId="61" applyNumberFormat="1" applyFont="1" applyFill="1" applyBorder="1" applyAlignment="1">
      <alignment horizontal="right" vertical="center"/>
    </xf>
    <xf numFmtId="0" fontId="17" fillId="0" borderId="14" xfId="61" applyFont="1" applyBorder="1" applyAlignment="1">
      <alignment horizontal="center" vertical="center"/>
    </xf>
    <xf numFmtId="164" fontId="40" fillId="25" borderId="12" xfId="61" applyNumberFormat="1" applyFont="1" applyFill="1" applyBorder="1" applyAlignment="1">
      <alignment horizontal="right" vertical="center"/>
    </xf>
    <xf numFmtId="176" fontId="16" fillId="24" borderId="0" xfId="61" applyNumberFormat="1" applyFont="1" applyFill="1" applyAlignment="1">
      <alignment vertical="center"/>
    </xf>
    <xf numFmtId="164" fontId="40" fillId="47" borderId="13" xfId="61" applyNumberFormat="1" applyFont="1" applyFill="1" applyBorder="1" applyAlignment="1">
      <alignment horizontal="right" vertical="center"/>
    </xf>
    <xf numFmtId="0" fontId="40" fillId="25" borderId="26" xfId="61" applyFont="1" applyFill="1" applyBorder="1" applyAlignment="1">
      <alignment vertical="center"/>
    </xf>
    <xf numFmtId="164" fontId="40" fillId="25" borderId="19" xfId="61" applyNumberFormat="1" applyFont="1" applyFill="1" applyBorder="1" applyAlignment="1">
      <alignment horizontal="right" vertical="center"/>
    </xf>
    <xf numFmtId="164" fontId="40" fillId="47" borderId="19" xfId="61" applyNumberFormat="1" applyFont="1" applyFill="1" applyBorder="1" applyAlignment="1">
      <alignment horizontal="right" vertical="center"/>
    </xf>
    <xf numFmtId="164" fontId="17" fillId="25" borderId="12" xfId="61" applyNumberFormat="1" applyFont="1" applyFill="1" applyBorder="1" applyAlignment="1">
      <alignment horizontal="right" vertical="center"/>
    </xf>
    <xf numFmtId="164" fontId="17" fillId="47" borderId="12" xfId="61" applyNumberFormat="1" applyFont="1" applyFill="1" applyBorder="1" applyAlignment="1">
      <alignment horizontal="right" vertical="center"/>
    </xf>
    <xf numFmtId="0" fontId="40" fillId="24" borderId="26" xfId="61" applyFont="1" applyFill="1" applyBorder="1" applyAlignment="1">
      <alignment vertical="center"/>
    </xf>
    <xf numFmtId="164" fontId="40" fillId="25" borderId="12" xfId="40" applyNumberFormat="1" applyFont="1" applyFill="1" applyBorder="1" applyAlignment="1">
      <alignment horizontal="right" vertical="center"/>
    </xf>
    <xf numFmtId="164" fontId="40" fillId="47" borderId="12" xfId="40" applyNumberFormat="1" applyFont="1" applyFill="1" applyBorder="1" applyAlignment="1">
      <alignment horizontal="right" vertical="center"/>
    </xf>
    <xf numFmtId="164" fontId="40" fillId="25" borderId="13" xfId="40" applyNumberFormat="1" applyFont="1" applyFill="1" applyBorder="1" applyAlignment="1">
      <alignment vertical="center"/>
    </xf>
    <xf numFmtId="164" fontId="40" fillId="47" borderId="13" xfId="40" applyNumberFormat="1" applyFont="1" applyFill="1" applyBorder="1" applyAlignment="1">
      <alignment horizontal="right" vertical="center"/>
    </xf>
    <xf numFmtId="0" fontId="45" fillId="24" borderId="0" xfId="61" applyFont="1" applyFill="1" applyAlignment="1">
      <alignment vertical="center"/>
    </xf>
    <xf numFmtId="0" fontId="40" fillId="26" borderId="18" xfId="61" applyFont="1" applyFill="1" applyBorder="1" applyAlignment="1">
      <alignment vertical="center"/>
    </xf>
    <xf numFmtId="0" fontId="46" fillId="24" borderId="0" xfId="61" applyFont="1" applyFill="1" applyAlignment="1">
      <alignment vertical="center"/>
    </xf>
    <xf numFmtId="173" fontId="40" fillId="25" borderId="12" xfId="40" applyNumberFormat="1" applyFont="1" applyFill="1" applyBorder="1" applyAlignment="1">
      <alignment horizontal="right" vertical="center"/>
    </xf>
    <xf numFmtId="173" fontId="16" fillId="25" borderId="0" xfId="61" applyNumberFormat="1" applyFont="1" applyFill="1" applyAlignment="1">
      <alignment vertical="center"/>
    </xf>
    <xf numFmtId="0" fontId="94" fillId="25" borderId="0" xfId="61" applyFont="1" applyFill="1" applyAlignment="1">
      <alignment vertical="center"/>
    </xf>
    <xf numFmtId="170" fontId="40" fillId="25" borderId="12" xfId="40" applyNumberFormat="1" applyFont="1" applyFill="1" applyBorder="1" applyAlignment="1">
      <alignment horizontal="right" vertical="center"/>
    </xf>
    <xf numFmtId="170" fontId="40" fillId="47" borderId="12" xfId="40" applyNumberFormat="1" applyFont="1" applyFill="1" applyBorder="1" applyAlignment="1">
      <alignment horizontal="right" vertical="center"/>
    </xf>
    <xf numFmtId="0" fontId="46" fillId="24" borderId="0" xfId="61" quotePrefix="1" applyFont="1" applyFill="1" applyAlignment="1">
      <alignment vertical="center"/>
    </xf>
    <xf numFmtId="0" fontId="46" fillId="24" borderId="10" xfId="61" quotePrefix="1" applyFont="1" applyFill="1" applyBorder="1" applyAlignment="1">
      <alignment vertical="center"/>
    </xf>
    <xf numFmtId="170" fontId="40" fillId="25" borderId="13" xfId="40" applyNumberFormat="1" applyFont="1" applyFill="1" applyBorder="1" applyAlignment="1">
      <alignment horizontal="right" vertical="center"/>
    </xf>
    <xf numFmtId="170" fontId="40" fillId="47" borderId="13" xfId="40" applyNumberFormat="1" applyFont="1" applyFill="1" applyBorder="1" applyAlignment="1">
      <alignment horizontal="right" vertical="center"/>
    </xf>
    <xf numFmtId="0" fontId="17" fillId="25" borderId="11" xfId="61" applyFont="1" applyFill="1" applyBorder="1" applyAlignment="1">
      <alignment vertical="center"/>
    </xf>
    <xf numFmtId="170" fontId="17" fillId="47" borderId="12" xfId="40" applyNumberFormat="1" applyFont="1" applyFill="1" applyBorder="1" applyAlignment="1">
      <alignment horizontal="right" vertical="center"/>
    </xf>
    <xf numFmtId="0" fontId="86" fillId="25" borderId="0" xfId="61" applyFont="1" applyFill="1" applyAlignment="1">
      <alignment vertical="center"/>
    </xf>
    <xf numFmtId="170" fontId="52" fillId="25" borderId="0" xfId="61" applyNumberFormat="1" applyFont="1" applyFill="1" applyAlignment="1">
      <alignment vertical="center"/>
    </xf>
    <xf numFmtId="0" fontId="46" fillId="25" borderId="0" xfId="61" quotePrefix="1" applyFont="1" applyFill="1" applyAlignment="1">
      <alignment vertical="center"/>
    </xf>
    <xf numFmtId="0" fontId="46" fillId="25" borderId="10" xfId="61" quotePrefix="1" applyFont="1" applyFill="1" applyBorder="1" applyAlignment="1">
      <alignment vertical="center"/>
    </xf>
    <xf numFmtId="0" fontId="95" fillId="24" borderId="0" xfId="61" applyFont="1" applyFill="1" applyAlignment="1">
      <alignment vertical="center"/>
    </xf>
    <xf numFmtId="170" fontId="40" fillId="25" borderId="12" xfId="61" applyNumberFormat="1" applyFont="1" applyFill="1" applyBorder="1" applyAlignment="1">
      <alignment horizontal="right" vertical="center"/>
    </xf>
    <xf numFmtId="0" fontId="46" fillId="27" borderId="0" xfId="61" quotePrefix="1" applyFont="1" applyFill="1" applyAlignment="1">
      <alignment vertical="center"/>
    </xf>
    <xf numFmtId="9" fontId="40" fillId="24" borderId="11" xfId="66" applyFont="1" applyFill="1" applyBorder="1" applyAlignment="1">
      <alignment vertical="center"/>
    </xf>
    <xf numFmtId="9" fontId="40" fillId="25" borderId="0" xfId="66" quotePrefix="1" applyFont="1" applyFill="1" applyBorder="1" applyAlignment="1">
      <alignment vertical="center"/>
    </xf>
    <xf numFmtId="170" fontId="40" fillId="25" borderId="12" xfId="66" applyNumberFormat="1" applyFont="1" applyFill="1" applyBorder="1" applyAlignment="1">
      <alignment horizontal="right" vertical="center"/>
    </xf>
    <xf numFmtId="170" fontId="16" fillId="25" borderId="0" xfId="66" applyNumberFormat="1" applyFont="1" applyFill="1" applyAlignment="1">
      <alignment vertical="center"/>
    </xf>
    <xf numFmtId="9" fontId="16" fillId="24" borderId="0" xfId="66" applyFont="1" applyFill="1" applyAlignment="1">
      <alignment vertical="center"/>
    </xf>
    <xf numFmtId="0" fontId="83" fillId="25" borderId="0" xfId="61" applyFont="1" applyFill="1" applyAlignment="1">
      <alignment vertical="center"/>
    </xf>
    <xf numFmtId="1" fontId="40" fillId="25" borderId="12" xfId="40" applyNumberFormat="1" applyFont="1" applyFill="1" applyBorder="1" applyAlignment="1">
      <alignment horizontal="right" vertical="center"/>
    </xf>
    <xf numFmtId="0" fontId="95" fillId="25" borderId="0" xfId="61" applyFont="1" applyFill="1" applyAlignment="1">
      <alignment vertical="center"/>
    </xf>
    <xf numFmtId="0" fontId="41" fillId="25" borderId="0" xfId="61" applyFont="1" applyFill="1" applyAlignment="1">
      <alignment vertical="center"/>
    </xf>
    <xf numFmtId="0" fontId="46" fillId="25" borderId="11" xfId="61" applyFont="1" applyFill="1" applyBorder="1" applyAlignment="1">
      <alignment vertical="center"/>
    </xf>
    <xf numFmtId="170" fontId="54" fillId="25" borderId="0" xfId="40" applyNumberFormat="1" applyFont="1" applyFill="1" applyAlignment="1">
      <alignment vertical="center"/>
    </xf>
    <xf numFmtId="0" fontId="54" fillId="25" borderId="0" xfId="61" applyFont="1" applyFill="1" applyAlignment="1">
      <alignment vertical="center"/>
    </xf>
    <xf numFmtId="0" fontId="54" fillId="24" borderId="0" xfId="61" applyFont="1" applyFill="1" applyAlignment="1">
      <alignment vertical="center"/>
    </xf>
    <xf numFmtId="170" fontId="54" fillId="25" borderId="0" xfId="61" applyNumberFormat="1" applyFont="1" applyFill="1" applyAlignment="1">
      <alignment vertical="center"/>
    </xf>
    <xf numFmtId="174" fontId="40" fillId="47" borderId="12" xfId="40" applyNumberFormat="1" applyFont="1" applyFill="1" applyBorder="1" applyAlignment="1">
      <alignment horizontal="right" vertical="center"/>
    </xf>
    <xf numFmtId="170" fontId="54" fillId="47" borderId="0" xfId="61" applyNumberFormat="1" applyFont="1" applyFill="1" applyAlignment="1">
      <alignment vertical="center"/>
    </xf>
    <xf numFmtId="1" fontId="40" fillId="47" borderId="12" xfId="40" applyNumberFormat="1" applyFont="1" applyFill="1" applyBorder="1" applyAlignment="1">
      <alignment horizontal="right" vertical="center"/>
    </xf>
    <xf numFmtId="1" fontId="54" fillId="47" borderId="0" xfId="61" applyNumberFormat="1" applyFont="1" applyFill="1" applyAlignment="1">
      <alignment vertical="center"/>
    </xf>
    <xf numFmtId="0" fontId="40" fillId="24" borderId="10" xfId="61" quotePrefix="1" applyFont="1" applyFill="1" applyBorder="1" applyAlignment="1">
      <alignment vertical="center"/>
    </xf>
    <xf numFmtId="0" fontId="40" fillId="24" borderId="10" xfId="61" applyFont="1" applyFill="1" applyBorder="1" applyAlignment="1">
      <alignment vertical="center"/>
    </xf>
    <xf numFmtId="174" fontId="40" fillId="25" borderId="13" xfId="40" applyNumberFormat="1" applyFont="1" applyFill="1" applyBorder="1" applyAlignment="1">
      <alignment vertical="center"/>
    </xf>
    <xf numFmtId="174" fontId="40" fillId="47" borderId="13" xfId="40" applyNumberFormat="1" applyFont="1" applyFill="1" applyBorder="1" applyAlignment="1">
      <alignment vertical="center"/>
    </xf>
    <xf numFmtId="174" fontId="16" fillId="47" borderId="0" xfId="61" applyNumberFormat="1" applyFont="1" applyFill="1" applyAlignment="1">
      <alignment vertical="center"/>
    </xf>
    <xf numFmtId="0" fontId="40" fillId="24" borderId="0" xfId="61" quotePrefix="1" applyFont="1" applyFill="1" applyAlignment="1">
      <alignment vertical="center"/>
    </xf>
    <xf numFmtId="171" fontId="40" fillId="25" borderId="0" xfId="40" applyNumberFormat="1" applyFont="1" applyFill="1" applyBorder="1" applyAlignment="1">
      <alignment vertical="center"/>
    </xf>
    <xf numFmtId="0" fontId="40" fillId="25" borderId="0" xfId="61" quotePrefix="1" applyFont="1" applyFill="1" applyAlignment="1">
      <alignment horizontal="left" vertical="center"/>
    </xf>
    <xf numFmtId="0" fontId="40" fillId="25" borderId="0" xfId="61" applyFont="1" applyFill="1" applyAlignment="1">
      <alignment vertical="center" wrapText="1"/>
    </xf>
    <xf numFmtId="0" fontId="40" fillId="25" borderId="0" xfId="61" quotePrefix="1" applyFont="1" applyFill="1" applyAlignment="1">
      <alignment vertical="center"/>
    </xf>
    <xf numFmtId="15" fontId="16" fillId="25" borderId="0" xfId="61" applyNumberFormat="1" applyFont="1" applyFill="1" applyAlignment="1">
      <alignment vertical="center"/>
    </xf>
    <xf numFmtId="170" fontId="40" fillId="25" borderId="0" xfId="40" applyNumberFormat="1" applyFont="1" applyFill="1" applyBorder="1" applyAlignment="1">
      <alignment horizontal="right" vertical="center"/>
    </xf>
    <xf numFmtId="0" fontId="13" fillId="0" borderId="0" xfId="60" applyAlignment="1">
      <alignment vertical="center"/>
    </xf>
    <xf numFmtId="0" fontId="14" fillId="31" borderId="0" xfId="0" applyFont="1" applyFill="1" applyAlignment="1">
      <alignment vertical="center"/>
    </xf>
    <xf numFmtId="0" fontId="16" fillId="31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48" fillId="31" borderId="0" xfId="0" applyFont="1" applyFill="1" applyAlignment="1">
      <alignment vertical="center"/>
    </xf>
    <xf numFmtId="0" fontId="50" fillId="0" borderId="0" xfId="0" applyFont="1" applyAlignment="1">
      <alignment vertical="center"/>
    </xf>
    <xf numFmtId="0" fontId="50" fillId="31" borderId="0" xfId="0" applyFont="1" applyFill="1" applyAlignment="1">
      <alignment vertical="center"/>
    </xf>
    <xf numFmtId="0" fontId="50" fillId="25" borderId="0" xfId="60" applyFont="1" applyFill="1" applyAlignment="1">
      <alignment vertical="center"/>
    </xf>
    <xf numFmtId="0" fontId="50" fillId="0" borderId="0" xfId="60" applyFont="1" applyAlignment="1">
      <alignment vertical="center"/>
    </xf>
    <xf numFmtId="0" fontId="40" fillId="25" borderId="0" xfId="60" applyFont="1" applyFill="1" applyAlignment="1">
      <alignment vertical="center"/>
    </xf>
    <xf numFmtId="0" fontId="40" fillId="0" borderId="0" xfId="60" applyFont="1" applyAlignment="1">
      <alignment vertical="center"/>
    </xf>
    <xf numFmtId="0" fontId="90" fillId="48" borderId="19" xfId="0" applyFont="1" applyFill="1" applyBorder="1" applyAlignment="1">
      <alignment vertical="center"/>
    </xf>
    <xf numFmtId="0" fontId="18" fillId="49" borderId="14" xfId="0" applyFont="1" applyFill="1" applyBorder="1" applyAlignment="1">
      <alignment vertical="center"/>
    </xf>
    <xf numFmtId="0" fontId="18" fillId="49" borderId="27" xfId="0" applyFont="1" applyFill="1" applyBorder="1" applyAlignment="1">
      <alignment vertical="center"/>
    </xf>
    <xf numFmtId="0" fontId="40" fillId="26" borderId="0" xfId="60" applyFont="1" applyFill="1" applyAlignment="1">
      <alignment vertical="center"/>
    </xf>
    <xf numFmtId="0" fontId="17" fillId="48" borderId="13" xfId="0" applyFont="1" applyFill="1" applyBorder="1" applyAlignment="1">
      <alignment vertical="center"/>
    </xf>
    <xf numFmtId="0" fontId="17" fillId="31" borderId="12" xfId="0" applyFont="1" applyFill="1" applyBorder="1" applyAlignment="1">
      <alignment vertical="center"/>
    </xf>
    <xf numFmtId="0" fontId="90" fillId="31" borderId="17" xfId="0" applyFont="1" applyFill="1" applyBorder="1" applyAlignment="1">
      <alignment vertical="center"/>
    </xf>
    <xf numFmtId="0" fontId="90" fillId="50" borderId="17" xfId="0" applyFont="1" applyFill="1" applyBorder="1" applyAlignment="1">
      <alignment vertical="center"/>
    </xf>
    <xf numFmtId="0" fontId="40" fillId="50" borderId="0" xfId="0" applyFont="1" applyFill="1" applyAlignment="1">
      <alignment vertical="center"/>
    </xf>
    <xf numFmtId="0" fontId="40" fillId="50" borderId="17" xfId="0" applyFont="1" applyFill="1" applyBorder="1" applyAlignment="1">
      <alignment vertical="center"/>
    </xf>
    <xf numFmtId="3" fontId="17" fillId="31" borderId="17" xfId="0" applyNumberFormat="1" applyFont="1" applyFill="1" applyBorder="1" applyAlignment="1">
      <alignment vertical="center"/>
    </xf>
    <xf numFmtId="3" fontId="86" fillId="31" borderId="17" xfId="0" applyNumberFormat="1" applyFont="1" applyFill="1" applyBorder="1" applyAlignment="1">
      <alignment vertical="center"/>
    </xf>
    <xf numFmtId="3" fontId="86" fillId="50" borderId="17" xfId="0" applyNumberFormat="1" applyFont="1" applyFill="1" applyBorder="1" applyAlignment="1">
      <alignment vertical="center"/>
    </xf>
    <xf numFmtId="0" fontId="83" fillId="50" borderId="0" xfId="0" applyFont="1" applyFill="1" applyAlignment="1">
      <alignment vertical="center"/>
    </xf>
    <xf numFmtId="3" fontId="17" fillId="50" borderId="17" xfId="0" applyNumberFormat="1" applyFont="1" applyFill="1" applyBorder="1" applyAlignment="1">
      <alignment vertical="center"/>
    </xf>
    <xf numFmtId="0" fontId="17" fillId="31" borderId="17" xfId="0" applyFont="1" applyFill="1" applyBorder="1" applyAlignment="1">
      <alignment vertical="center"/>
    </xf>
    <xf numFmtId="0" fontId="86" fillId="31" borderId="17" xfId="0" applyFont="1" applyFill="1" applyBorder="1" applyAlignment="1">
      <alignment vertical="center"/>
    </xf>
    <xf numFmtId="0" fontId="86" fillId="50" borderId="17" xfId="0" applyFont="1" applyFill="1" applyBorder="1" applyAlignment="1">
      <alignment vertical="center"/>
    </xf>
    <xf numFmtId="0" fontId="17" fillId="50" borderId="12" xfId="0" applyFont="1" applyFill="1" applyBorder="1" applyAlignment="1">
      <alignment vertical="center"/>
    </xf>
    <xf numFmtId="0" fontId="17" fillId="50" borderId="17" xfId="0" applyFont="1" applyFill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40" fillId="0" borderId="12" xfId="0" applyFont="1" applyBorder="1" applyAlignment="1">
      <alignment vertical="center"/>
    </xf>
    <xf numFmtId="3" fontId="83" fillId="31" borderId="17" xfId="0" applyNumberFormat="1" applyFont="1" applyFill="1" applyBorder="1" applyAlignment="1">
      <alignment vertical="center"/>
    </xf>
    <xf numFmtId="3" fontId="46" fillId="50" borderId="17" xfId="0" applyNumberFormat="1" applyFont="1" applyFill="1" applyBorder="1" applyAlignment="1">
      <alignment vertical="center"/>
    </xf>
    <xf numFmtId="3" fontId="40" fillId="50" borderId="17" xfId="0" applyNumberFormat="1" applyFont="1" applyFill="1" applyBorder="1" applyAlignment="1">
      <alignment vertical="center"/>
    </xf>
    <xf numFmtId="0" fontId="46" fillId="50" borderId="0" xfId="0" applyFont="1" applyFill="1" applyAlignment="1">
      <alignment vertical="center"/>
    </xf>
    <xf numFmtId="3" fontId="83" fillId="31" borderId="28" xfId="0" applyNumberFormat="1" applyFont="1" applyFill="1" applyBorder="1" applyAlignment="1">
      <alignment vertical="center"/>
    </xf>
    <xf numFmtId="3" fontId="86" fillId="31" borderId="33" xfId="0" applyNumberFormat="1" applyFont="1" applyFill="1" applyBorder="1" applyAlignment="1">
      <alignment vertical="center"/>
    </xf>
    <xf numFmtId="3" fontId="86" fillId="31" borderId="35" xfId="0" applyNumberFormat="1" applyFont="1" applyFill="1" applyBorder="1" applyAlignment="1">
      <alignment vertical="center"/>
    </xf>
    <xf numFmtId="3" fontId="86" fillId="50" borderId="24" xfId="0" applyNumberFormat="1" applyFont="1" applyFill="1" applyBorder="1" applyAlignment="1">
      <alignment vertical="center"/>
    </xf>
    <xf numFmtId="0" fontId="17" fillId="25" borderId="0" xfId="60" applyFont="1" applyFill="1" applyAlignment="1">
      <alignment vertical="center"/>
    </xf>
    <xf numFmtId="0" fontId="83" fillId="50" borderId="12" xfId="0" applyFont="1" applyFill="1" applyBorder="1" applyAlignment="1">
      <alignment vertical="center"/>
    </xf>
    <xf numFmtId="0" fontId="40" fillId="31" borderId="12" xfId="0" applyFont="1" applyFill="1" applyBorder="1" applyAlignment="1">
      <alignment vertical="center"/>
    </xf>
    <xf numFmtId="0" fontId="87" fillId="50" borderId="17" xfId="0" applyFont="1" applyFill="1" applyBorder="1" applyAlignment="1">
      <alignment vertical="center"/>
    </xf>
    <xf numFmtId="0" fontId="59" fillId="50" borderId="17" xfId="0" applyFont="1" applyFill="1" applyBorder="1" applyAlignment="1">
      <alignment vertical="center"/>
    </xf>
    <xf numFmtId="0" fontId="45" fillId="50" borderId="17" xfId="0" applyFont="1" applyFill="1" applyBorder="1" applyAlignment="1">
      <alignment vertical="center"/>
    </xf>
    <xf numFmtId="0" fontId="87" fillId="50" borderId="0" xfId="0" applyFont="1" applyFill="1" applyAlignment="1">
      <alignment vertical="center"/>
    </xf>
    <xf numFmtId="0" fontId="17" fillId="0" borderId="0" xfId="60" applyFont="1" applyAlignment="1">
      <alignment vertical="center"/>
    </xf>
    <xf numFmtId="0" fontId="83" fillId="50" borderId="28" xfId="0" applyFont="1" applyFill="1" applyBorder="1" applyAlignment="1">
      <alignment vertical="center"/>
    </xf>
    <xf numFmtId="0" fontId="40" fillId="50" borderId="28" xfId="0" applyFont="1" applyFill="1" applyBorder="1" applyAlignment="1">
      <alignment vertical="center"/>
    </xf>
    <xf numFmtId="0" fontId="83" fillId="50" borderId="13" xfId="0" applyFont="1" applyFill="1" applyBorder="1" applyAlignment="1">
      <alignment vertical="center"/>
    </xf>
    <xf numFmtId="0" fontId="86" fillId="50" borderId="33" xfId="0" applyFont="1" applyFill="1" applyBorder="1" applyAlignment="1">
      <alignment vertical="center"/>
    </xf>
    <xf numFmtId="0" fontId="86" fillId="50" borderId="0" xfId="0" applyFont="1" applyFill="1" applyAlignment="1">
      <alignment vertical="center"/>
    </xf>
    <xf numFmtId="0" fontId="86" fillId="50" borderId="24" xfId="0" applyFont="1" applyFill="1" applyBorder="1" applyAlignment="1">
      <alignment vertical="center"/>
    </xf>
    <xf numFmtId="0" fontId="46" fillId="0" borderId="0" xfId="60" applyFont="1" applyAlignment="1">
      <alignment vertical="center"/>
    </xf>
    <xf numFmtId="10" fontId="86" fillId="50" borderId="17" xfId="0" applyNumberFormat="1" applyFont="1" applyFill="1" applyBorder="1" applyAlignment="1">
      <alignment vertical="center"/>
    </xf>
    <xf numFmtId="10" fontId="86" fillId="50" borderId="12" xfId="0" applyNumberFormat="1" applyFont="1" applyFill="1" applyBorder="1" applyAlignment="1">
      <alignment vertical="center"/>
    </xf>
    <xf numFmtId="0" fontId="83" fillId="50" borderId="17" xfId="0" applyFont="1" applyFill="1" applyBorder="1" applyAlignment="1">
      <alignment vertical="center"/>
    </xf>
    <xf numFmtId="1" fontId="83" fillId="50" borderId="17" xfId="0" applyNumberFormat="1" applyFont="1" applyFill="1" applyBorder="1" applyAlignment="1">
      <alignment vertical="center"/>
    </xf>
    <xf numFmtId="1" fontId="40" fillId="50" borderId="17" xfId="0" applyNumberFormat="1" applyFont="1" applyFill="1" applyBorder="1" applyAlignment="1">
      <alignment vertical="center"/>
    </xf>
    <xf numFmtId="1" fontId="83" fillId="50" borderId="12" xfId="0" applyNumberFormat="1" applyFont="1" applyFill="1" applyBorder="1" applyAlignment="1">
      <alignment vertical="center"/>
    </xf>
    <xf numFmtId="3" fontId="83" fillId="50" borderId="17" xfId="0" applyNumberFormat="1" applyFont="1" applyFill="1" applyBorder="1" applyAlignment="1">
      <alignment vertical="center"/>
    </xf>
    <xf numFmtId="0" fontId="86" fillId="0" borderId="13" xfId="0" applyFont="1" applyBorder="1" applyAlignment="1">
      <alignment vertical="center"/>
    </xf>
    <xf numFmtId="3" fontId="86" fillId="50" borderId="34" xfId="0" applyNumberFormat="1" applyFont="1" applyFill="1" applyBorder="1" applyAlignment="1">
      <alignment vertical="center"/>
    </xf>
    <xf numFmtId="0" fontId="40" fillId="31" borderId="46" xfId="0" applyFont="1" applyFill="1" applyBorder="1" applyAlignment="1">
      <alignment vertical="center"/>
    </xf>
    <xf numFmtId="0" fontId="17" fillId="31" borderId="0" xfId="0" applyFont="1" applyFill="1" applyAlignment="1">
      <alignment vertical="center"/>
    </xf>
    <xf numFmtId="0" fontId="13" fillId="25" borderId="0" xfId="60" applyFill="1" applyAlignment="1">
      <alignment vertical="center"/>
    </xf>
    <xf numFmtId="170" fontId="40" fillId="25" borderId="12" xfId="40" applyNumberFormat="1" applyFont="1" applyFill="1" applyBorder="1" applyAlignment="1">
      <alignment vertical="center"/>
    </xf>
    <xf numFmtId="170" fontId="40" fillId="25" borderId="0" xfId="40" applyNumberFormat="1" applyFont="1" applyFill="1" applyBorder="1" applyAlignment="1">
      <alignment vertical="center"/>
    </xf>
    <xf numFmtId="170" fontId="16" fillId="24" borderId="0" xfId="61" applyNumberFormat="1" applyFont="1" applyFill="1" applyAlignment="1">
      <alignment vertical="center"/>
    </xf>
    <xf numFmtId="170" fontId="17" fillId="25" borderId="19" xfId="40" applyNumberFormat="1" applyFont="1" applyFill="1" applyBorder="1" applyAlignment="1">
      <alignment vertical="center"/>
    </xf>
    <xf numFmtId="170" fontId="17" fillId="25" borderId="13" xfId="40" applyNumberFormat="1" applyFont="1" applyFill="1" applyBorder="1" applyAlignment="1">
      <alignment vertical="center"/>
    </xf>
    <xf numFmtId="170" fontId="40" fillId="25" borderId="13" xfId="40" applyNumberFormat="1" applyFont="1" applyFill="1" applyBorder="1" applyAlignment="1">
      <alignment vertical="center"/>
    </xf>
    <xf numFmtId="0" fontId="17" fillId="25" borderId="28" xfId="61" applyFont="1" applyFill="1" applyBorder="1" applyAlignment="1">
      <alignment vertical="center"/>
    </xf>
    <xf numFmtId="0" fontId="40" fillId="0" borderId="21" xfId="61" applyFont="1" applyBorder="1" applyAlignment="1">
      <alignment vertical="center"/>
    </xf>
    <xf numFmtId="173" fontId="40" fillId="25" borderId="0" xfId="61" applyNumberFormat="1" applyFont="1" applyFill="1" applyAlignment="1">
      <alignment vertical="center"/>
    </xf>
    <xf numFmtId="170" fontId="40" fillId="25" borderId="0" xfId="61" applyNumberFormat="1" applyFont="1" applyFill="1" applyAlignment="1">
      <alignment vertical="center"/>
    </xf>
    <xf numFmtId="0" fontId="18" fillId="0" borderId="0" xfId="61" applyFont="1" applyAlignment="1">
      <alignment vertical="center"/>
    </xf>
    <xf numFmtId="164" fontId="18" fillId="0" borderId="0" xfId="61" applyNumberFormat="1" applyFont="1" applyAlignment="1">
      <alignment vertical="center"/>
    </xf>
    <xf numFmtId="170" fontId="16" fillId="47" borderId="12" xfId="61" applyNumberFormat="1" applyFont="1" applyFill="1" applyBorder="1" applyAlignment="1">
      <alignment vertical="center"/>
    </xf>
    <xf numFmtId="166" fontId="56" fillId="47" borderId="0" xfId="61" applyNumberFormat="1" applyFont="1" applyFill="1" applyAlignment="1">
      <alignment vertical="center"/>
    </xf>
    <xf numFmtId="172" fontId="45" fillId="47" borderId="17" xfId="66" applyNumberFormat="1" applyFont="1" applyFill="1" applyBorder="1" applyAlignment="1">
      <alignment vertical="center"/>
    </xf>
    <xf numFmtId="172" fontId="40" fillId="47" borderId="11" xfId="66" applyNumberFormat="1" applyFont="1" applyFill="1" applyBorder="1" applyAlignment="1">
      <alignment vertical="center"/>
    </xf>
    <xf numFmtId="172" fontId="40" fillId="47" borderId="12" xfId="66" applyNumberFormat="1" applyFont="1" applyFill="1" applyBorder="1" applyAlignment="1">
      <alignment vertical="center"/>
    </xf>
    <xf numFmtId="164" fontId="40" fillId="47" borderId="18" xfId="61" applyNumberFormat="1" applyFont="1" applyFill="1" applyBorder="1" applyAlignment="1">
      <alignment vertical="center"/>
    </xf>
    <xf numFmtId="0" fontId="18" fillId="47" borderId="12" xfId="61" applyFont="1" applyFill="1" applyBorder="1" applyAlignment="1">
      <alignment vertical="center"/>
    </xf>
    <xf numFmtId="164" fontId="40" fillId="47" borderId="14" xfId="61" applyNumberFormat="1" applyFont="1" applyFill="1" applyBorder="1" applyAlignment="1">
      <alignment horizontal="right" vertical="center"/>
    </xf>
    <xf numFmtId="164" fontId="40" fillId="47" borderId="14" xfId="40" applyNumberFormat="1" applyFont="1" applyFill="1" applyBorder="1" applyAlignment="1">
      <alignment horizontal="right" vertical="center"/>
    </xf>
    <xf numFmtId="164" fontId="40" fillId="47" borderId="27" xfId="40" applyNumberFormat="1" applyFont="1" applyFill="1" applyBorder="1" applyAlignment="1">
      <alignment horizontal="right" vertical="center"/>
    </xf>
    <xf numFmtId="164" fontId="40" fillId="47" borderId="28" xfId="40" applyNumberFormat="1" applyFont="1" applyFill="1" applyBorder="1" applyAlignment="1">
      <alignment horizontal="right" vertical="center"/>
    </xf>
    <xf numFmtId="170" fontId="40" fillId="47" borderId="12" xfId="61" applyNumberFormat="1" applyFont="1" applyFill="1" applyBorder="1" applyAlignment="1">
      <alignment horizontal="right" vertical="center"/>
    </xf>
    <xf numFmtId="170" fontId="40" fillId="47" borderId="12" xfId="66" applyNumberFormat="1" applyFont="1" applyFill="1" applyBorder="1" applyAlignment="1">
      <alignment horizontal="right" vertical="center"/>
    </xf>
    <xf numFmtId="170" fontId="17" fillId="47" borderId="19" xfId="40" applyNumberFormat="1" applyFont="1" applyFill="1" applyBorder="1" applyAlignment="1">
      <alignment vertical="center"/>
    </xf>
    <xf numFmtId="170" fontId="17" fillId="47" borderId="13" xfId="40" applyNumberFormat="1" applyFont="1" applyFill="1" applyBorder="1" applyAlignment="1">
      <alignment vertical="center"/>
    </xf>
    <xf numFmtId="170" fontId="40" fillId="47" borderId="13" xfId="40" applyNumberFormat="1" applyFont="1" applyFill="1" applyBorder="1" applyAlignment="1">
      <alignment vertical="center"/>
    </xf>
    <xf numFmtId="0" fontId="40" fillId="47" borderId="26" xfId="61" applyFont="1" applyFill="1" applyBorder="1" applyAlignment="1">
      <alignment vertical="center"/>
    </xf>
    <xf numFmtId="0" fontId="45" fillId="47" borderId="0" xfId="61" quotePrefix="1" applyFont="1" applyFill="1" applyAlignment="1">
      <alignment horizontal="left" vertical="center"/>
    </xf>
    <xf numFmtId="1" fontId="40" fillId="0" borderId="12" xfId="40" applyNumberFormat="1" applyFont="1" applyFill="1" applyBorder="1" applyAlignment="1">
      <alignment horizontal="right" vertical="center"/>
    </xf>
    <xf numFmtId="170" fontId="40" fillId="0" borderId="12" xfId="40" applyNumberFormat="1" applyFont="1" applyFill="1" applyBorder="1" applyAlignment="1">
      <alignment horizontal="right" vertical="center"/>
    </xf>
    <xf numFmtId="0" fontId="40" fillId="0" borderId="0" xfId="61" quotePrefix="1" applyFont="1" applyAlignment="1">
      <alignment horizontal="left" vertical="center"/>
    </xf>
    <xf numFmtId="171" fontId="40" fillId="0" borderId="0" xfId="40" applyNumberFormat="1" applyFont="1" applyFill="1" applyBorder="1" applyAlignment="1">
      <alignment vertical="center"/>
    </xf>
    <xf numFmtId="164" fontId="40" fillId="47" borderId="12" xfId="91" applyNumberFormat="1" applyFont="1" applyFill="1" applyBorder="1" applyAlignment="1">
      <alignment vertical="center"/>
    </xf>
    <xf numFmtId="3" fontId="40" fillId="47" borderId="12" xfId="91" applyNumberFormat="1" applyFont="1" applyFill="1" applyBorder="1" applyAlignment="1">
      <alignment vertical="center"/>
    </xf>
    <xf numFmtId="164" fontId="40" fillId="47" borderId="13" xfId="91" applyNumberFormat="1" applyFont="1" applyFill="1" applyBorder="1" applyAlignment="1">
      <alignment vertical="center"/>
    </xf>
    <xf numFmtId="3" fontId="40" fillId="47" borderId="12" xfId="0" applyNumberFormat="1" applyFont="1" applyFill="1" applyBorder="1" applyAlignment="1">
      <alignment vertical="center"/>
    </xf>
    <xf numFmtId="3" fontId="40" fillId="31" borderId="12" xfId="0" applyNumberFormat="1" applyFont="1" applyFill="1" applyBorder="1" applyAlignment="1">
      <alignment vertical="center"/>
    </xf>
    <xf numFmtId="164" fontId="17" fillId="47" borderId="13" xfId="91" applyNumberFormat="1" applyFont="1" applyFill="1" applyBorder="1" applyAlignment="1">
      <alignment vertical="center"/>
    </xf>
    <xf numFmtId="3" fontId="17" fillId="47" borderId="19" xfId="0" applyNumberFormat="1" applyFont="1" applyFill="1" applyBorder="1" applyAlignment="1">
      <alignment vertical="center"/>
    </xf>
    <xf numFmtId="164" fontId="17" fillId="47" borderId="19" xfId="91" applyNumberFormat="1" applyFont="1" applyFill="1" applyBorder="1" applyAlignment="1">
      <alignment vertical="center"/>
    </xf>
    <xf numFmtId="3" fontId="17" fillId="31" borderId="19" xfId="0" applyNumberFormat="1" applyFont="1" applyFill="1" applyBorder="1" applyAlignment="1">
      <alignment vertical="center"/>
    </xf>
    <xf numFmtId="164" fontId="40" fillId="47" borderId="17" xfId="91" applyNumberFormat="1" applyFont="1" applyFill="1" applyBorder="1" applyAlignment="1">
      <alignment vertical="center"/>
    </xf>
    <xf numFmtId="166" fontId="17" fillId="47" borderId="0" xfId="61" applyNumberFormat="1" applyFont="1" applyFill="1" applyAlignment="1">
      <alignment vertical="center"/>
    </xf>
    <xf numFmtId="3" fontId="40" fillId="31" borderId="17" xfId="91" applyNumberFormat="1" applyFont="1" applyFill="1" applyBorder="1" applyAlignment="1">
      <alignment vertical="center"/>
    </xf>
    <xf numFmtId="3" fontId="40" fillId="47" borderId="17" xfId="91" applyNumberFormat="1" applyFont="1" applyFill="1" applyBorder="1" applyAlignment="1">
      <alignment vertical="center"/>
    </xf>
    <xf numFmtId="164" fontId="40" fillId="47" borderId="28" xfId="91" applyNumberFormat="1" applyFont="1" applyFill="1" applyBorder="1" applyAlignment="1">
      <alignment vertical="center"/>
    </xf>
    <xf numFmtId="164" fontId="40" fillId="47" borderId="24" xfId="91" applyNumberFormat="1" applyFont="1" applyFill="1" applyBorder="1" applyAlignment="1">
      <alignment vertical="center"/>
    </xf>
    <xf numFmtId="3" fontId="40" fillId="31" borderId="28" xfId="91" applyNumberFormat="1" applyFont="1" applyFill="1" applyBorder="1" applyAlignment="1">
      <alignment vertical="center"/>
    </xf>
    <xf numFmtId="164" fontId="17" fillId="47" borderId="28" xfId="91" applyNumberFormat="1" applyFont="1" applyFill="1" applyBorder="1" applyAlignment="1">
      <alignment vertical="center"/>
    </xf>
    <xf numFmtId="164" fontId="17" fillId="47" borderId="25" xfId="91" applyNumberFormat="1" applyFont="1" applyFill="1" applyBorder="1" applyAlignment="1">
      <alignment vertical="center"/>
    </xf>
    <xf numFmtId="3" fontId="17" fillId="31" borderId="28" xfId="91" applyNumberFormat="1" applyFont="1" applyFill="1" applyBorder="1" applyAlignment="1">
      <alignment vertical="center"/>
    </xf>
    <xf numFmtId="1" fontId="40" fillId="50" borderId="13" xfId="0" applyNumberFormat="1" applyFont="1" applyFill="1" applyBorder="1" applyAlignment="1">
      <alignment vertical="center"/>
    </xf>
    <xf numFmtId="1" fontId="45" fillId="50" borderId="12" xfId="0" applyNumberFormat="1" applyFont="1" applyFill="1" applyBorder="1" applyAlignment="1">
      <alignment vertical="center"/>
    </xf>
    <xf numFmtId="3" fontId="40" fillId="0" borderId="17" xfId="60" applyNumberFormat="1" applyFont="1" applyBorder="1" applyAlignment="1">
      <alignment horizontal="right" vertical="center"/>
    </xf>
    <xf numFmtId="3" fontId="40" fillId="0" borderId="12" xfId="60" applyNumberFormat="1" applyFont="1" applyBorder="1" applyAlignment="1">
      <alignment horizontal="right" vertical="center"/>
    </xf>
    <xf numFmtId="3" fontId="17" fillId="0" borderId="19" xfId="60" applyNumberFormat="1" applyFont="1" applyBorder="1" applyAlignment="1">
      <alignment horizontal="right" vertical="center"/>
    </xf>
    <xf numFmtId="3" fontId="40" fillId="0" borderId="28" xfId="60" applyNumberFormat="1" applyFont="1" applyBorder="1" applyAlignment="1">
      <alignment horizontal="right" vertical="center"/>
    </xf>
    <xf numFmtId="3" fontId="53" fillId="0" borderId="17" xfId="60" applyNumberFormat="1" applyFont="1" applyBorder="1" applyAlignment="1">
      <alignment horizontal="right" vertical="center"/>
    </xf>
    <xf numFmtId="180" fontId="17" fillId="0" borderId="17" xfId="60" applyNumberFormat="1" applyFont="1" applyBorder="1" applyAlignment="1">
      <alignment horizontal="right" vertical="center"/>
    </xf>
    <xf numFmtId="180" fontId="17" fillId="0" borderId="12" xfId="60" applyNumberFormat="1" applyFont="1" applyBorder="1" applyAlignment="1">
      <alignment horizontal="right" vertical="center"/>
    </xf>
    <xf numFmtId="3" fontId="53" fillId="0" borderId="12" xfId="60" applyNumberFormat="1" applyFont="1" applyBorder="1" applyAlignment="1">
      <alignment horizontal="right" vertical="center"/>
    </xf>
    <xf numFmtId="172" fontId="53" fillId="0" borderId="17" xfId="66" applyNumberFormat="1" applyFont="1" applyFill="1" applyBorder="1" applyAlignment="1">
      <alignment horizontal="right" vertical="center"/>
    </xf>
    <xf numFmtId="172" fontId="53" fillId="0" borderId="12" xfId="66" applyNumberFormat="1" applyFont="1" applyFill="1" applyBorder="1" applyAlignment="1">
      <alignment horizontal="right" vertical="center"/>
    </xf>
    <xf numFmtId="172" fontId="17" fillId="0" borderId="17" xfId="66" applyNumberFormat="1" applyFont="1" applyFill="1" applyBorder="1" applyAlignment="1">
      <alignment horizontal="right" vertical="center"/>
    </xf>
    <xf numFmtId="172" fontId="17" fillId="0" borderId="12" xfId="66" applyNumberFormat="1" applyFont="1" applyFill="1" applyBorder="1" applyAlignment="1">
      <alignment horizontal="right" vertical="center"/>
    </xf>
    <xf numFmtId="9" fontId="40" fillId="0" borderId="17" xfId="70" applyFont="1" applyFill="1" applyBorder="1" applyAlignment="1">
      <alignment horizontal="right" vertical="center"/>
    </xf>
    <xf numFmtId="170" fontId="40" fillId="0" borderId="17" xfId="41" applyNumberFormat="1" applyFont="1" applyFill="1" applyBorder="1" applyAlignment="1">
      <alignment horizontal="right" vertical="center"/>
    </xf>
    <xf numFmtId="170" fontId="40" fillId="0" borderId="12" xfId="60" applyNumberFormat="1" applyFont="1" applyBorder="1" applyAlignment="1">
      <alignment horizontal="right" vertical="center"/>
    </xf>
    <xf numFmtId="170" fontId="40" fillId="0" borderId="17" xfId="60" applyNumberFormat="1" applyFont="1" applyBorder="1" applyAlignment="1">
      <alignment horizontal="right" vertical="center"/>
    </xf>
    <xf numFmtId="170" fontId="46" fillId="0" borderId="17" xfId="91" applyNumberFormat="1" applyFont="1" applyFill="1" applyBorder="1" applyAlignment="1">
      <alignment horizontal="right" vertical="center"/>
    </xf>
    <xf numFmtId="164" fontId="17" fillId="25" borderId="23" xfId="41" applyNumberFormat="1" applyFont="1" applyFill="1" applyBorder="1" applyAlignment="1">
      <alignment vertical="center"/>
    </xf>
    <xf numFmtId="168" fontId="17" fillId="25" borderId="0" xfId="61" applyNumberFormat="1" applyFont="1" applyFill="1" applyAlignment="1">
      <alignment horizontal="centerContinuous" vertical="center"/>
    </xf>
    <xf numFmtId="164" fontId="17" fillId="25" borderId="12" xfId="61" applyNumberFormat="1" applyFont="1" applyFill="1" applyBorder="1" applyAlignment="1">
      <alignment horizontal="centerContinuous" vertical="center"/>
    </xf>
    <xf numFmtId="164" fontId="17" fillId="25" borderId="0" xfId="61" applyNumberFormat="1" applyFont="1" applyFill="1" applyAlignment="1">
      <alignment horizontal="centerContinuous" vertical="center"/>
    </xf>
    <xf numFmtId="169" fontId="40" fillId="25" borderId="10" xfId="61" applyNumberFormat="1" applyFont="1" applyFill="1" applyBorder="1" applyAlignment="1">
      <alignment vertical="center"/>
    </xf>
    <xf numFmtId="164" fontId="17" fillId="25" borderId="25" xfId="41" applyNumberFormat="1" applyFont="1" applyFill="1" applyBorder="1" applyAlignment="1">
      <alignment vertical="center"/>
    </xf>
    <xf numFmtId="169" fontId="40" fillId="25" borderId="0" xfId="61" applyNumberFormat="1" applyFont="1" applyFill="1" applyAlignment="1">
      <alignment vertical="center"/>
    </xf>
    <xf numFmtId="9" fontId="17" fillId="25" borderId="0" xfId="66" applyFont="1" applyFill="1" applyBorder="1" applyAlignment="1">
      <alignment vertical="center"/>
    </xf>
    <xf numFmtId="1" fontId="17" fillId="50" borderId="43" xfId="0" applyNumberFormat="1" applyFont="1" applyFill="1" applyBorder="1" applyAlignment="1">
      <alignment vertical="center"/>
    </xf>
    <xf numFmtId="3" fontId="40" fillId="47" borderId="28" xfId="91" applyNumberFormat="1" applyFont="1" applyFill="1" applyBorder="1" applyAlignment="1">
      <alignment vertical="center"/>
    </xf>
    <xf numFmtId="3" fontId="17" fillId="47" borderId="28" xfId="91" applyNumberFormat="1" applyFont="1" applyFill="1" applyBorder="1" applyAlignment="1">
      <alignment vertical="center"/>
    </xf>
    <xf numFmtId="3" fontId="40" fillId="50" borderId="17" xfId="91" applyNumberFormat="1" applyFont="1" applyFill="1" applyBorder="1" applyAlignment="1">
      <alignment vertical="center"/>
    </xf>
    <xf numFmtId="0" fontId="53" fillId="24" borderId="17" xfId="61" applyFont="1" applyFill="1" applyBorder="1" applyAlignment="1">
      <alignment vertical="center" wrapText="1"/>
    </xf>
    <xf numFmtId="172" fontId="86" fillId="50" borderId="17" xfId="66" applyNumberFormat="1" applyFont="1" applyFill="1" applyBorder="1" applyAlignment="1">
      <alignment vertical="center"/>
    </xf>
    <xf numFmtId="172" fontId="86" fillId="50" borderId="17" xfId="0" applyNumberFormat="1" applyFont="1" applyFill="1" applyBorder="1" applyAlignment="1">
      <alignment vertical="center"/>
    </xf>
    <xf numFmtId="172" fontId="17" fillId="50" borderId="17" xfId="0" applyNumberFormat="1" applyFont="1" applyFill="1" applyBorder="1" applyAlignment="1">
      <alignment vertical="center"/>
    </xf>
    <xf numFmtId="0" fontId="97" fillId="24" borderId="0" xfId="61" applyFont="1" applyFill="1" applyAlignment="1">
      <alignment vertical="center"/>
    </xf>
    <xf numFmtId="0" fontId="46" fillId="47" borderId="28" xfId="61" applyFont="1" applyFill="1" applyBorder="1" applyAlignment="1">
      <alignment vertical="center"/>
    </xf>
    <xf numFmtId="170" fontId="17" fillId="47" borderId="12" xfId="61" applyNumberFormat="1" applyFont="1" applyFill="1" applyBorder="1" applyAlignment="1">
      <alignment horizontal="right" vertical="center"/>
    </xf>
    <xf numFmtId="9" fontId="40" fillId="47" borderId="0" xfId="66" applyFont="1" applyFill="1" applyBorder="1" applyAlignment="1">
      <alignment vertical="center"/>
    </xf>
    <xf numFmtId="172" fontId="40" fillId="47" borderId="12" xfId="66" applyNumberFormat="1" applyFont="1" applyFill="1" applyBorder="1" applyAlignment="1">
      <alignment horizontal="right" vertical="center"/>
    </xf>
    <xf numFmtId="1" fontId="40" fillId="47" borderId="12" xfId="61" applyNumberFormat="1" applyFont="1" applyFill="1" applyBorder="1" applyAlignment="1">
      <alignment horizontal="right" vertical="center"/>
    </xf>
    <xf numFmtId="0" fontId="97" fillId="25" borderId="0" xfId="61" applyFont="1" applyFill="1" applyAlignment="1">
      <alignment vertical="center"/>
    </xf>
    <xf numFmtId="164" fontId="40" fillId="47" borderId="15" xfId="61" applyNumberFormat="1" applyFont="1" applyFill="1" applyBorder="1" applyAlignment="1">
      <alignment horizontal="right" vertical="center"/>
    </xf>
    <xf numFmtId="164" fontId="40" fillId="47" borderId="10" xfId="61" applyNumberFormat="1" applyFont="1" applyFill="1" applyBorder="1" applyAlignment="1">
      <alignment horizontal="right" vertical="center"/>
    </xf>
    <xf numFmtId="0" fontId="83" fillId="0" borderId="17" xfId="0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0" fontId="40" fillId="0" borderId="17" xfId="0" applyFont="1" applyBorder="1" applyAlignment="1">
      <alignment horizontal="right" vertical="center"/>
    </xf>
    <xf numFmtId="0" fontId="83" fillId="0" borderId="0" xfId="0" applyFont="1" applyAlignment="1">
      <alignment horizontal="right" vertical="center"/>
    </xf>
    <xf numFmtId="0" fontId="83" fillId="0" borderId="12" xfId="0" applyFont="1" applyBorder="1" applyAlignment="1">
      <alignment horizontal="right" vertical="center"/>
    </xf>
    <xf numFmtId="164" fontId="46" fillId="47" borderId="11" xfId="40" applyNumberFormat="1" applyFont="1" applyFill="1" applyBorder="1" applyAlignment="1">
      <alignment vertical="center"/>
    </xf>
    <xf numFmtId="0" fontId="83" fillId="0" borderId="0" xfId="60" applyFont="1" applyAlignment="1">
      <alignment horizontal="left" vertical="center"/>
    </xf>
    <xf numFmtId="164" fontId="53" fillId="47" borderId="19" xfId="44" applyNumberFormat="1" applyFont="1" applyFill="1" applyBorder="1" applyAlignment="1">
      <alignment horizontal="right" vertical="center"/>
    </xf>
    <xf numFmtId="164" fontId="53" fillId="47" borderId="19" xfId="40" applyNumberFormat="1" applyFont="1" applyFill="1" applyBorder="1" applyAlignment="1">
      <alignment vertical="center"/>
    </xf>
    <xf numFmtId="164" fontId="17" fillId="25" borderId="19" xfId="41" applyNumberFormat="1" applyFont="1" applyFill="1" applyBorder="1" applyAlignment="1">
      <alignment vertical="center"/>
    </xf>
    <xf numFmtId="164" fontId="17" fillId="47" borderId="19" xfId="41" applyNumberFormat="1" applyFont="1" applyFill="1" applyBorder="1" applyAlignment="1">
      <alignment vertical="center"/>
    </xf>
    <xf numFmtId="164" fontId="17" fillId="47" borderId="19" xfId="44" applyNumberFormat="1" applyFont="1" applyFill="1" applyBorder="1" applyAlignment="1">
      <alignment horizontal="right" vertical="center"/>
    </xf>
    <xf numFmtId="164" fontId="17" fillId="47" borderId="29" xfId="44" applyNumberFormat="1" applyFont="1" applyFill="1" applyBorder="1" applyAlignment="1">
      <alignment horizontal="right" vertical="center"/>
    </xf>
    <xf numFmtId="3" fontId="17" fillId="50" borderId="19" xfId="0" applyNumberFormat="1" applyFont="1" applyFill="1" applyBorder="1" applyAlignment="1">
      <alignment vertical="center"/>
    </xf>
    <xf numFmtId="3" fontId="17" fillId="50" borderId="29" xfId="0" applyNumberFormat="1" applyFont="1" applyFill="1" applyBorder="1" applyAlignment="1">
      <alignment vertical="center"/>
    </xf>
    <xf numFmtId="3" fontId="17" fillId="0" borderId="29" xfId="60" applyNumberFormat="1" applyFont="1" applyBorder="1" applyAlignment="1">
      <alignment horizontal="right" vertical="center"/>
    </xf>
    <xf numFmtId="0" fontId="17" fillId="50" borderId="19" xfId="0" applyFont="1" applyFill="1" applyBorder="1" applyAlignment="1">
      <alignment vertical="center"/>
    </xf>
    <xf numFmtId="0" fontId="17" fillId="50" borderId="29" xfId="0" applyFont="1" applyFill="1" applyBorder="1" applyAlignment="1">
      <alignment vertical="center"/>
    </xf>
    <xf numFmtId="3" fontId="86" fillId="50" borderId="19" xfId="0" applyNumberFormat="1" applyFont="1" applyFill="1" applyBorder="1" applyAlignment="1">
      <alignment vertical="center"/>
    </xf>
    <xf numFmtId="3" fontId="86" fillId="50" borderId="29" xfId="0" applyNumberFormat="1" applyFont="1" applyFill="1" applyBorder="1" applyAlignment="1">
      <alignment vertical="center"/>
    </xf>
    <xf numFmtId="170" fontId="53" fillId="0" borderId="29" xfId="91" applyNumberFormat="1" applyFont="1" applyFill="1" applyBorder="1" applyAlignment="1">
      <alignment horizontal="right" vertical="center"/>
    </xf>
    <xf numFmtId="164" fontId="40" fillId="25" borderId="17" xfId="61" applyNumberFormat="1" applyFont="1" applyFill="1" applyBorder="1" applyAlignment="1">
      <alignment horizontal="right" vertical="center"/>
    </xf>
    <xf numFmtId="172" fontId="40" fillId="25" borderId="17" xfId="61" applyNumberFormat="1" applyFont="1" applyFill="1" applyBorder="1" applyAlignment="1">
      <alignment vertical="center"/>
    </xf>
    <xf numFmtId="0" fontId="17" fillId="26" borderId="30" xfId="61" applyFont="1" applyFill="1" applyBorder="1" applyAlignment="1">
      <alignment horizontal="center" vertical="center"/>
    </xf>
    <xf numFmtId="0" fontId="17" fillId="26" borderId="29" xfId="61" applyFont="1" applyFill="1" applyBorder="1" applyAlignment="1">
      <alignment horizontal="center" vertical="center"/>
    </xf>
    <xf numFmtId="0" fontId="17" fillId="26" borderId="30" xfId="61" applyFont="1" applyFill="1" applyBorder="1" applyAlignment="1">
      <alignment horizontal="center" vertical="center" wrapText="1"/>
    </xf>
    <xf numFmtId="0" fontId="17" fillId="26" borderId="29" xfId="61" applyFont="1" applyFill="1" applyBorder="1" applyAlignment="1">
      <alignment horizontal="center" vertical="center" wrapText="1"/>
    </xf>
    <xf numFmtId="0" fontId="17" fillId="26" borderId="26" xfId="61" applyFont="1" applyFill="1" applyBorder="1" applyAlignment="1">
      <alignment horizontal="center" vertical="center" wrapText="1"/>
    </xf>
    <xf numFmtId="0" fontId="40" fillId="47" borderId="10" xfId="61" applyFont="1" applyFill="1" applyBorder="1" applyAlignment="1">
      <alignment horizontal="left" vertical="center" wrapText="1"/>
    </xf>
    <xf numFmtId="0" fontId="40" fillId="47" borderId="28" xfId="61" applyFont="1" applyFill="1" applyBorder="1" applyAlignment="1">
      <alignment horizontal="left" vertical="center" wrapText="1"/>
    </xf>
    <xf numFmtId="0" fontId="17" fillId="26" borderId="30" xfId="61" applyFont="1" applyFill="1" applyBorder="1" applyAlignment="1">
      <alignment horizontal="center"/>
    </xf>
    <xf numFmtId="0" fontId="17" fillId="26" borderId="29" xfId="61" applyFont="1" applyFill="1" applyBorder="1" applyAlignment="1">
      <alignment horizontal="center"/>
    </xf>
    <xf numFmtId="0" fontId="17" fillId="26" borderId="30" xfId="61" applyFont="1" applyFill="1" applyBorder="1" applyAlignment="1">
      <alignment horizontal="center" wrapText="1"/>
    </xf>
    <xf numFmtId="0" fontId="17" fillId="26" borderId="29" xfId="61" applyFont="1" applyFill="1" applyBorder="1" applyAlignment="1">
      <alignment horizontal="center" wrapText="1"/>
    </xf>
  </cellXfs>
  <cellStyles count="192">
    <cellStyle name="__x001d__'&amp;O_—&amp;H__x000b__x0008_R_x000a_&amp;_x000e__x0007__x0001__x0001_ 141 13 2" xfId="104" xr:uid="{DF66B918-3E05-4F12-B923-B352A0F48195}"/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" xfId="40" builtinId="3"/>
    <cellStyle name="Comma 10" xfId="107" xr:uid="{6F771CEF-D36B-48EB-80BB-A7DCB7A033B9}"/>
    <cellStyle name="Comma 11 3 2" xfId="119" xr:uid="{C9A38E1A-B38A-4B54-BF89-FFC6AD8B29EF}"/>
    <cellStyle name="Comma 135" xfId="112" xr:uid="{6381D61D-7892-417B-9B04-B69279519297}"/>
    <cellStyle name="Comma 2" xfId="41" xr:uid="{00000000-0005-0000-0000-000028000000}"/>
    <cellStyle name="Comma 2 2" xfId="42" xr:uid="{00000000-0005-0000-0000-000029000000}"/>
    <cellStyle name="Comma 2 2 2" xfId="43" xr:uid="{00000000-0005-0000-0000-00002A000000}"/>
    <cellStyle name="Comma 2 2 2 2" xfId="44" xr:uid="{00000000-0005-0000-0000-00002B000000}"/>
    <cellStyle name="Comma 2 2 2 2 2" xfId="82" xr:uid="{00000000-0005-0000-0000-00002C000000}"/>
    <cellStyle name="Comma 2 2 2 2 2 2" xfId="91" xr:uid="{36161C44-ABA9-435E-AA6F-A9F7CD16BD43}"/>
    <cellStyle name="Comma 2 2 2 3" xfId="81" xr:uid="{00000000-0005-0000-0000-00002D000000}"/>
    <cellStyle name="Comma 2 2 3" xfId="80" xr:uid="{00000000-0005-0000-0000-00002E000000}"/>
    <cellStyle name="Comma 2 2 4" xfId="110" xr:uid="{5F6CD796-3B31-4EB3-B089-AB1BD7148703}"/>
    <cellStyle name="Comma 2 3" xfId="79" xr:uid="{00000000-0005-0000-0000-00002F000000}"/>
    <cellStyle name="Comma 2 3 2" xfId="108" xr:uid="{44D9165A-5264-4E3A-9C2C-0934BD5C9CCC}"/>
    <cellStyle name="Comma 2 4" xfId="94" xr:uid="{EA89EC8F-0876-4027-A922-74463955BD12}"/>
    <cellStyle name="Comma 2 4 2" xfId="100" xr:uid="{27D5FC51-3FF5-4B6D-8073-E2F29E18368A}"/>
    <cellStyle name="Comma 2 4 3" xfId="167" xr:uid="{FE5E5FBC-DC8B-436F-9D0C-1F1244AF9C28}"/>
    <cellStyle name="Comma 2 4 3 2" xfId="170" xr:uid="{9EB4B86D-B5F3-46EE-A745-B665B554968E}"/>
    <cellStyle name="Comma 2 4 3 2 2" xfId="174" xr:uid="{EED40C26-F2E7-4132-BDDE-66F4FCD3C6BA}"/>
    <cellStyle name="Comma 2 4 3 2 2 2" xfId="178" xr:uid="{B5806702-F6CD-46E8-B90D-BA404D4B1845}"/>
    <cellStyle name="Comma 2 5" xfId="101" xr:uid="{FFB2DE7A-A55B-4823-B93E-B094D0F75CA3}"/>
    <cellStyle name="Comma 2 53" xfId="111" xr:uid="{D58E2735-AEBD-4C74-A6DF-8CFAF9A183BF}"/>
    <cellStyle name="Comma 2 6" xfId="183" xr:uid="{B08F8BB5-CA6C-4A7B-A8C4-06D9F5E55188}"/>
    <cellStyle name="Comma 2 6 2" xfId="187" xr:uid="{94DF9786-7FF3-4F8D-8325-7C99E008B901}"/>
    <cellStyle name="Comma 2 6 3" xfId="191" xr:uid="{9C4ED071-42B7-47F3-A136-13DAC886DF5C}"/>
    <cellStyle name="Comma 3" xfId="45" xr:uid="{00000000-0005-0000-0000-000030000000}"/>
    <cellStyle name="Comma 3 2" xfId="46" xr:uid="{00000000-0005-0000-0000-000031000000}"/>
    <cellStyle name="Comma 3 2 2" xfId="84" xr:uid="{00000000-0005-0000-0000-000032000000}"/>
    <cellStyle name="Comma 3 3" xfId="83" xr:uid="{00000000-0005-0000-0000-000033000000}"/>
    <cellStyle name="Comma 3 3 2" xfId="122" xr:uid="{DABE7234-581F-46CE-95DC-76A692ABE182}"/>
    <cellStyle name="Comma 3 4" xfId="115" xr:uid="{7C8514F9-A791-44B6-97CA-5783B30F7EC1}"/>
    <cellStyle name="Comma 4" xfId="47" xr:uid="{00000000-0005-0000-0000-000034000000}"/>
    <cellStyle name="Comma 4 2" xfId="48" xr:uid="{00000000-0005-0000-0000-000035000000}"/>
    <cellStyle name="Comma 4 2 2" xfId="86" xr:uid="{00000000-0005-0000-0000-000036000000}"/>
    <cellStyle name="Comma 4 3" xfId="85" xr:uid="{00000000-0005-0000-0000-000037000000}"/>
    <cellStyle name="Comma 4 4" xfId="120" xr:uid="{65A58B82-CA5A-4DF5-931B-A8DE34002CCF}"/>
    <cellStyle name="Comma 5" xfId="78" xr:uid="{00000000-0005-0000-0000-000038000000}"/>
    <cellStyle name="Comma 5 2" xfId="92" xr:uid="{72802790-146E-4BF4-B7CC-F5D56CC87AD1}"/>
    <cellStyle name="Comma 5 3" xfId="125" xr:uid="{6C620215-E4DD-4966-901A-816D173F4E91}"/>
    <cellStyle name="Comma 6" xfId="90" xr:uid="{4A1B19C7-41CE-4235-9A0E-B42E20B212D9}"/>
    <cellStyle name="Comma 7" xfId="98" xr:uid="{0ACDB83A-A55C-4270-9BF8-3DA596C329D6}"/>
    <cellStyle name="Currency 2" xfId="49" xr:uid="{00000000-0005-0000-0000-000039000000}"/>
    <cellStyle name="Currency 2 2" xfId="50" xr:uid="{00000000-0005-0000-0000-00003A000000}"/>
    <cellStyle name="Currency 2 2 2" xfId="88" xr:uid="{00000000-0005-0000-0000-00003B000000}"/>
    <cellStyle name="Currency 2 3" xfId="87" xr:uid="{00000000-0005-0000-0000-00003C000000}"/>
    <cellStyle name="Explanatory Text" xfId="51" builtinId="53" customBuiltin="1"/>
    <cellStyle name="Good" xfId="52" builtinId="26" customBuiltin="1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126 3" xfId="118" xr:uid="{4F13038E-5840-47E8-976A-2305B5FB5F60}"/>
    <cellStyle name="Normal 131" xfId="109" xr:uid="{C2DF03EB-3BE5-4AA6-92FC-719DB65A751F}"/>
    <cellStyle name="Normal 17 4" xfId="105" xr:uid="{85D4F029-B026-4B49-9C7F-2BCEEEA67198}"/>
    <cellStyle name="Normal 2" xfId="60" xr:uid="{00000000-0005-0000-0000-000047000000}"/>
    <cellStyle name="Normal 2 2" xfId="114" xr:uid="{86F68B3B-D0DE-4A4E-BDEB-926C92B39C89}"/>
    <cellStyle name="Normal 2 3" xfId="113" xr:uid="{B7AE655A-E86E-45C8-A1AD-6D8AE46566B3}"/>
    <cellStyle name="Normal 2 4" xfId="103" xr:uid="{091AC4D9-C93E-4851-B962-C5BD5CE5C56A}"/>
    <cellStyle name="Normal 3" xfId="89" xr:uid="{4EB4EC5E-4146-4289-8947-55157A951B75}"/>
    <cellStyle name="Normal 3 2" xfId="102" xr:uid="{9692A0B0-B647-4A59-B337-B97C51E7B79F}"/>
    <cellStyle name="Normal 4" xfId="93" xr:uid="{34AA0AE2-9DD7-4614-ADF1-EFA11ED52C65}"/>
    <cellStyle name="Normal 4 2" xfId="96" xr:uid="{830B42B9-C37D-4126-BE79-C4513E1FA269}"/>
    <cellStyle name="Normal 4 3" xfId="116" xr:uid="{6D26F37E-8B63-4DAF-AC9D-D3FA7F5ECF90}"/>
    <cellStyle name="Normal 4 4" xfId="166" xr:uid="{5B04B8D9-EE8D-4B7E-817C-FAD2444BC987}"/>
    <cellStyle name="Normal 4 4 2" xfId="169" xr:uid="{D4CB9494-C366-4911-B7D4-0771B98985EB}"/>
    <cellStyle name="Normal 4 4 2 2" xfId="173" xr:uid="{9F210651-6E39-4432-822D-EA4E7A2F1D7A}"/>
    <cellStyle name="Normal 4 4 2 2 2" xfId="177" xr:uid="{CDB75A24-DE7E-4B18-B8B7-380E10DBA4C3}"/>
    <cellStyle name="Normal 4 4 2 2 2 2" xfId="181" xr:uid="{EC4A1AD4-319A-459F-A9FB-717AA18A8D2F}"/>
    <cellStyle name="Normal 4 4 2 2 2 2 2" xfId="185" xr:uid="{1C302A0B-0B28-411A-B597-3B8EB6681217}"/>
    <cellStyle name="Normal 4 4 2 2 2 2 3" xfId="189" xr:uid="{0C6529CF-1A5B-4700-BD6A-CF235E262F3C}"/>
    <cellStyle name="Normal 5" xfId="117" xr:uid="{AE2A0334-A1C8-4F80-9C69-F3652F20AF2E}"/>
    <cellStyle name="Normal 5 2" xfId="165" xr:uid="{7E1B9F85-C4B5-4906-845E-B756EFA2BB95}"/>
    <cellStyle name="Normal 5 2 2" xfId="172" xr:uid="{535C9B40-94D2-45F4-A771-B4D7060B5C08}"/>
    <cellStyle name="Normal 5 2 2 2" xfId="176" xr:uid="{7A7F1E56-8970-42D5-A1C8-E52FD3AA9A31}"/>
    <cellStyle name="Normal 5 2 2 2 2" xfId="180" xr:uid="{D1B6D96F-E5B1-490D-9EF0-F111FA5D470B}"/>
    <cellStyle name="Normal 5 2 2 2 2 2" xfId="184" xr:uid="{EB0FDDA9-DB52-4875-B778-F34488CFC756}"/>
    <cellStyle name="Normal 5 2 2 2 2 3" xfId="188" xr:uid="{C4374AF8-6C09-4D06-AD54-0938727BDCE3}"/>
    <cellStyle name="Normal 6" xfId="97" xr:uid="{CBCF0BA9-4EDF-47AB-8F39-214763937DE6}"/>
    <cellStyle name="Normal 6 3 2" xfId="106" xr:uid="{FF09ED2B-7E82-47EC-B706-2BB40D0009B1}"/>
    <cellStyle name="Normal_Grp5yrSummary" xfId="61" xr:uid="{00000000-0005-0000-0000-000048000000}"/>
    <cellStyle name="Note" xfId="62" builtinId="10" customBuiltin="1"/>
    <cellStyle name="Note 2" xfId="63" xr:uid="{00000000-0005-0000-0000-00004A000000}"/>
    <cellStyle name="Note 2 2" xfId="64" xr:uid="{00000000-0005-0000-0000-00004B000000}"/>
    <cellStyle name="Output" xfId="65" builtinId="21" customBuiltin="1"/>
    <cellStyle name="Percent" xfId="66" builtinId="5"/>
    <cellStyle name="Percent 10" xfId="124" xr:uid="{CF233938-F69A-48BE-BF8E-4F46F52A65A4}"/>
    <cellStyle name="Percent 2" xfId="67" xr:uid="{00000000-0005-0000-0000-00004E000000}"/>
    <cellStyle name="Percent 2 2" xfId="68" xr:uid="{00000000-0005-0000-0000-00004F000000}"/>
    <cellStyle name="Percent 2 2 2" xfId="69" xr:uid="{00000000-0005-0000-0000-000050000000}"/>
    <cellStyle name="Percent 2 2 2 2" xfId="70" xr:uid="{00000000-0005-0000-0000-000051000000}"/>
    <cellStyle name="Percent 2 3" xfId="123" xr:uid="{A6DCC080-AB98-46FE-8416-D3EBCE4536E7}"/>
    <cellStyle name="Percent 3" xfId="71" xr:uid="{00000000-0005-0000-0000-000052000000}"/>
    <cellStyle name="Percent 3 2" xfId="72" xr:uid="{00000000-0005-0000-0000-000053000000}"/>
    <cellStyle name="Percent 4" xfId="73" xr:uid="{00000000-0005-0000-0000-000054000000}"/>
    <cellStyle name="Percent 4 2" xfId="74" xr:uid="{00000000-0005-0000-0000-000055000000}"/>
    <cellStyle name="Percent 5" xfId="95" xr:uid="{ED283EB3-83C6-481E-AE26-8D9F7B4D177D}"/>
    <cellStyle name="Percent 5 2" xfId="168" xr:uid="{B6610757-A84C-4FD9-B504-12318BB4A04F}"/>
    <cellStyle name="Percent 5 2 2" xfId="171" xr:uid="{C9C880BE-808E-4C13-8680-B09443727A33}"/>
    <cellStyle name="Percent 5 2 2 2" xfId="175" xr:uid="{930225F3-3407-416F-8C8E-DF44FAB9B8C5}"/>
    <cellStyle name="Percent 5 2 2 2 2" xfId="179" xr:uid="{2CA66D62-D75B-4973-BDB4-1DB96F823C20}"/>
    <cellStyle name="Percent 6" xfId="99" xr:uid="{E06979E9-0031-4088-85F2-B33F6F21CAC4}"/>
    <cellStyle name="Percent 7" xfId="182" xr:uid="{8C2597AF-4F5B-4692-9508-30A637B3F19E}"/>
    <cellStyle name="Percent 7 2" xfId="186" xr:uid="{21909324-37FA-42B9-8EE6-7170A28D0018}"/>
    <cellStyle name="Percent 7 3" xfId="190" xr:uid="{413F8C5D-4C8F-44C8-A559-9F377614243B}"/>
    <cellStyle name="SAPBorder" xfId="145" xr:uid="{6879BDFD-0330-4796-BDE5-E071C4A3A74A}"/>
    <cellStyle name="SAPDataCell" xfId="127" xr:uid="{67FF99F4-67D7-41A0-8EA7-18948BEE26C3}"/>
    <cellStyle name="SAPDataRemoved" xfId="146" xr:uid="{DB178311-4C8B-429D-820F-0E33856F7363}"/>
    <cellStyle name="SAPDataTotalCell" xfId="128" xr:uid="{F1CE370C-9B86-4A40-A610-0BDEB539A6FE}"/>
    <cellStyle name="SAPDimensionCell" xfId="126" xr:uid="{87B36E44-2545-43A5-96C6-D445284F22A6}"/>
    <cellStyle name="SAPEditableDataCell" xfId="130" xr:uid="{B5472855-B02A-4A77-BC01-155AC198DBF8}"/>
    <cellStyle name="SAPEditableDataTotalCell" xfId="133" xr:uid="{64749143-FBB2-4370-BB27-AA2B18CA7230}"/>
    <cellStyle name="SAPEmphasized" xfId="156" xr:uid="{FA7A1F73-1945-407E-B396-5D95220C7FFA}"/>
    <cellStyle name="SAPEmphasizedEditableDataCell" xfId="158" xr:uid="{44E03316-70CC-448C-971B-FB934CE62797}"/>
    <cellStyle name="SAPEmphasizedEditableDataTotalCell" xfId="159" xr:uid="{881444A5-DDFC-4316-8E05-C5D8984641C6}"/>
    <cellStyle name="SAPEmphasizedLockedDataCell" xfId="162" xr:uid="{5F9B56EB-F965-4F2E-ABDB-DE935C39E262}"/>
    <cellStyle name="SAPEmphasizedLockedDataTotalCell" xfId="163" xr:uid="{0B2B317A-C8BF-4866-BF19-33558A0140C2}"/>
    <cellStyle name="SAPEmphasizedReadonlyDataCell" xfId="160" xr:uid="{917C9183-D941-48D9-A2EE-314AC081F354}"/>
    <cellStyle name="SAPEmphasizedReadonlyDataTotalCell" xfId="161" xr:uid="{BC3D0827-9FC2-4757-AF5F-498186E3738E}"/>
    <cellStyle name="SAPEmphasizedTotal" xfId="157" xr:uid="{5E4CE7AA-EE4D-4F79-8928-EB5922304FB9}"/>
    <cellStyle name="SAPError" xfId="147" xr:uid="{CAD48328-0A0A-415E-AC11-01B6A8E91E61}"/>
    <cellStyle name="SAPExceptionLevel1" xfId="136" xr:uid="{ADE3305E-E0BA-454A-B503-22622DAACD32}"/>
    <cellStyle name="SAPExceptionLevel2" xfId="137" xr:uid="{DE7E6203-71D6-4B5D-9388-FBB6FAB68A1A}"/>
    <cellStyle name="SAPExceptionLevel3" xfId="138" xr:uid="{C4E49A13-4A44-4269-A64A-D5755B356377}"/>
    <cellStyle name="SAPExceptionLevel4" xfId="139" xr:uid="{0B673068-5B6C-4547-B9DC-B92A2FAD6690}"/>
    <cellStyle name="SAPExceptionLevel5" xfId="140" xr:uid="{1ABEBFAD-6A59-4E33-804C-C97ECB8A73CA}"/>
    <cellStyle name="SAPExceptionLevel6" xfId="141" xr:uid="{2050C60D-167F-429A-BA54-60DF48D00E28}"/>
    <cellStyle name="SAPExceptionLevel7" xfId="142" xr:uid="{525B9738-89E1-4E52-B28E-CA6294A6AA5B}"/>
    <cellStyle name="SAPExceptionLevel8" xfId="143" xr:uid="{4E4CCE74-8621-4BEF-8D6B-DD4F2D5D4D64}"/>
    <cellStyle name="SAPExceptionLevel9" xfId="144" xr:uid="{AC97E59C-2EB5-4A69-928B-A246E85A0F6E}"/>
    <cellStyle name="SAPFormula" xfId="164" xr:uid="{7199DDAC-222A-4077-B9CC-73E4BC54D160}"/>
    <cellStyle name="SAPGroupingFillCell" xfId="129" xr:uid="{4031D300-C632-4A7D-90A8-B5928406EAAA}"/>
    <cellStyle name="SAPHierarchyCell0" xfId="151" xr:uid="{0B86E3C7-F736-4EC5-B8BB-34C200A59046}"/>
    <cellStyle name="SAPHierarchyCell1" xfId="152" xr:uid="{3C13444E-FA1E-4728-AF57-A6E27118A368}"/>
    <cellStyle name="SAPHierarchyCell2" xfId="153" xr:uid="{39086E9C-3357-4825-A3ED-62CDEEAFEDC9}"/>
    <cellStyle name="SAPHierarchyCell3" xfId="154" xr:uid="{E6A28908-4ECC-4922-AAC0-9B073E628FFD}"/>
    <cellStyle name="SAPHierarchyCell4" xfId="155" xr:uid="{77B4BAAE-B774-44F3-BD96-336702327AD0}"/>
    <cellStyle name="SAPLockedDataCell" xfId="132" xr:uid="{7727C3A4-DC97-4FC5-9560-8E4FED687BF8}"/>
    <cellStyle name="SAPLockedDataTotalCell" xfId="135" xr:uid="{85A871F5-F214-416A-B2E0-85E54B3E6C7B}"/>
    <cellStyle name="SAPMemberCell" xfId="149" xr:uid="{CCBF9D2C-26D1-448A-AA6F-66EB668B8AE4}"/>
    <cellStyle name="SAPMemberTotalCell" xfId="150" xr:uid="{AB696C57-9FA2-45EA-A258-E640994BC358}"/>
    <cellStyle name="SAPMessageText" xfId="148" xr:uid="{990A29F8-9A71-49EF-A699-326684A2DC2F}"/>
    <cellStyle name="SAPReadonlyDataCell" xfId="131" xr:uid="{8617C456-18B3-4B8C-A2E3-FC8B54D5D3C2}"/>
    <cellStyle name="SAPReadonlyDataTotalCell" xfId="134" xr:uid="{C383F1FD-7BF8-405D-B921-1B5F38202CBC}"/>
    <cellStyle name="Style 1" xfId="121" xr:uid="{96A17BC3-4807-48B2-8207-73795CB575F1}"/>
    <cellStyle name="Title" xfId="75" builtinId="15" customBuiltin="1"/>
    <cellStyle name="Total" xfId="76" builtinId="25" customBuiltin="1"/>
    <cellStyle name="Warning Text" xfId="77" builtinId="11" customBuiltin="1"/>
  </cellStyles>
  <dxfs count="0"/>
  <tableStyles count="0" defaultTableStyle="TableStyleMedium9" defaultPivotStyle="PivotStyleLight16"/>
  <colors>
    <mruColors>
      <color rgb="FFFFFFFF"/>
      <color rgb="FFFF66FF"/>
      <color rgb="FFFFFF99"/>
      <color rgb="FFCCC0DA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ngtel-my.sharepoint.com/Management%20Accounting/SingTel%20Monthly%20Reporting/FY1819/Actuals/P12_Mar%2019/MD&amp;A/Input%20&amp;%20TM1%20Send%20Files/Retail%20Churn%20FY19%20Q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fs3942\CorpAccounting$\Management%20Accounting\SingTel%20Monthly%20Reporting\FY1819\Actuals\P12_Mar%2019\MD&amp;A\Input%20&amp;%20TM1%20Send%20Files\Retail%20Churn%20FY19%20Q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ingTel%20Monthly%20Reporting\FY1819\Actuals\P12_Mar%2019\MD&amp;A\MD&amp;A%20Master%20-%20Mar19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Summary"/>
      <sheetName val="Summary Sheet"/>
      <sheetName val="Cognos_Office_Connection_Cache"/>
      <sheetName val="Churn by BU"/>
      <sheetName val="Pre FY19 Churn"/>
      <sheetName val="Retail churn by BU "/>
      <sheetName val="Cog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Summary"/>
      <sheetName val="Summary Sheet"/>
      <sheetName val="Cognos_Office_Connection_Cache"/>
      <sheetName val="Churn by BU"/>
      <sheetName val="Pre FY19 Churn"/>
      <sheetName val="Retail churn by BU "/>
      <sheetName val="Cognos data"/>
    </sheetNames>
    <sheetDataSet>
      <sheetData sheetId="0"/>
      <sheetData sheetId="1">
        <row r="19">
          <cell r="E19">
            <v>-1.503512017247551E-2</v>
          </cell>
        </row>
      </sheetData>
      <sheetData sheetId="2"/>
      <sheetData sheetId="3"/>
      <sheetData sheetId="4">
        <row r="20">
          <cell r="CL20">
            <v>-1.4197231336585805E-2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D&amp;A Summary"/>
      <sheetName val="Underlying Data"/>
      <sheetName val="Section 2"/>
      <sheetName val="Section 6 + Additional"/>
      <sheetName val="Commentary"/>
      <sheetName val="Results Analysis"/>
      <sheetName val="NN Slides"/>
    </sheetNames>
    <sheetDataSet>
      <sheetData sheetId="0">
        <row r="4">
          <cell r="B4" t="str">
            <v>FY1819</v>
          </cell>
        </row>
      </sheetData>
      <sheetData sheetId="1">
        <row r="1">
          <cell r="A1" t="str">
            <v>MD&amp;A Summary Tab</v>
          </cell>
        </row>
      </sheetData>
      <sheetData sheetId="2" refreshError="1"/>
      <sheetData sheetId="3">
        <row r="4">
          <cell r="A4">
            <v>0</v>
          </cell>
          <cell r="B4">
            <v>0</v>
          </cell>
          <cell r="C4" t="str">
            <v>Quarter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 t="str">
            <v>Full Year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0</v>
          </cell>
          <cell r="B5">
            <v>0</v>
          </cell>
          <cell r="C5" t="str">
            <v>31 Mar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31 Mar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YoY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YoY</v>
          </cell>
          <cell r="N6">
            <v>0</v>
          </cell>
        </row>
        <row r="7">
          <cell r="A7">
            <v>0</v>
          </cell>
          <cell r="B7">
            <v>0</v>
          </cell>
          <cell r="C7">
            <v>2019</v>
          </cell>
          <cell r="D7">
            <v>0</v>
          </cell>
          <cell r="E7">
            <v>2018</v>
          </cell>
          <cell r="F7">
            <v>0</v>
          </cell>
          <cell r="G7" t="str">
            <v>Chge</v>
          </cell>
          <cell r="H7">
            <v>0</v>
          </cell>
          <cell r="I7">
            <v>2019</v>
          </cell>
          <cell r="J7">
            <v>0</v>
          </cell>
          <cell r="K7">
            <v>2018</v>
          </cell>
          <cell r="L7">
            <v>0</v>
          </cell>
          <cell r="M7" t="str">
            <v>Chge</v>
          </cell>
          <cell r="N7">
            <v>0</v>
          </cell>
        </row>
        <row r="8">
          <cell r="A8">
            <v>0</v>
          </cell>
          <cell r="B8">
            <v>0</v>
          </cell>
          <cell r="C8" t="str">
            <v>A$m</v>
          </cell>
          <cell r="D8">
            <v>0</v>
          </cell>
          <cell r="E8" t="str">
            <v>A$m</v>
          </cell>
          <cell r="F8">
            <v>0</v>
          </cell>
          <cell r="G8" t="str">
            <v>%</v>
          </cell>
          <cell r="H8">
            <v>0</v>
          </cell>
          <cell r="I8" t="str">
            <v>A$m</v>
          </cell>
          <cell r="J8">
            <v>0</v>
          </cell>
          <cell r="K8" t="str">
            <v>A$m</v>
          </cell>
          <cell r="L8">
            <v>0</v>
          </cell>
          <cell r="M8" t="str">
            <v>%</v>
          </cell>
          <cell r="N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Operating revenue</v>
          </cell>
          <cell r="B10">
            <v>0</v>
          </cell>
          <cell r="C10">
            <v>1964.4450468700034</v>
          </cell>
          <cell r="D10">
            <v>0</v>
          </cell>
          <cell r="E10">
            <v>1779.6514621400001</v>
          </cell>
          <cell r="F10">
            <v>0</v>
          </cell>
          <cell r="G10">
            <v>10.383695271870376</v>
          </cell>
          <cell r="H10" t="str">
            <v xml:space="preserve">- </v>
          </cell>
          <cell r="I10">
            <v>7658.6869483000037</v>
          </cell>
          <cell r="J10">
            <v>0</v>
          </cell>
          <cell r="K10">
            <v>7128.6485707100019</v>
          </cell>
          <cell r="L10">
            <v>0</v>
          </cell>
          <cell r="M10">
            <v>7.4353276407509989</v>
          </cell>
          <cell r="N10" t="str">
            <v xml:space="preserve">- </v>
          </cell>
        </row>
        <row r="11">
          <cell r="A11" t="str">
            <v>Operating expense</v>
          </cell>
          <cell r="B11">
            <v>0</v>
          </cell>
          <cell r="C11">
            <v>1296.1166756000039</v>
          </cell>
          <cell r="D11">
            <v>0</v>
          </cell>
          <cell r="E11">
            <v>1177.6217033300072</v>
          </cell>
          <cell r="F11">
            <v>0</v>
          </cell>
          <cell r="G11">
            <v>10.062227278499009</v>
          </cell>
          <cell r="H11" t="str">
            <v xml:space="preserve">- </v>
          </cell>
          <cell r="I11">
            <v>5299.3817106000033</v>
          </cell>
          <cell r="J11">
            <v>0</v>
          </cell>
          <cell r="K11">
            <v>4837.3819080300073</v>
          </cell>
          <cell r="L11">
            <v>0</v>
          </cell>
          <cell r="M11">
            <v>9.5506166631805698</v>
          </cell>
          <cell r="N11" t="str">
            <v xml:space="preserve">- 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</row>
        <row r="13">
          <cell r="A13">
            <v>0</v>
          </cell>
          <cell r="B13">
            <v>0</v>
          </cell>
          <cell r="C13">
            <v>668.32837126999948</v>
          </cell>
          <cell r="D13">
            <v>0</v>
          </cell>
          <cell r="E13">
            <v>602.02975880999293</v>
          </cell>
          <cell r="F13">
            <v>0</v>
          </cell>
          <cell r="G13">
            <v>11.012514163927086</v>
          </cell>
          <cell r="H13">
            <v>0</v>
          </cell>
          <cell r="I13">
            <v>2359.3052377000004</v>
          </cell>
          <cell r="J13">
            <v>0</v>
          </cell>
          <cell r="K13">
            <v>2291.2666626799946</v>
          </cell>
          <cell r="L13">
            <v>0</v>
          </cell>
          <cell r="M13">
            <v>2.9694743142827376</v>
          </cell>
          <cell r="N13" t="str">
            <v xml:space="preserve">- 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Other income</v>
          </cell>
          <cell r="B15">
            <v>0</v>
          </cell>
          <cell r="C15">
            <v>28.487353869999936</v>
          </cell>
          <cell r="D15">
            <v>0</v>
          </cell>
          <cell r="E15">
            <v>32.987941839999991</v>
          </cell>
          <cell r="F15">
            <v>0</v>
          </cell>
          <cell r="G15">
            <v>-13.643130547001279</v>
          </cell>
          <cell r="H15" t="str">
            <v xml:space="preserve">- </v>
          </cell>
          <cell r="I15">
            <v>123.21467401999995</v>
          </cell>
          <cell r="J15">
            <v>0</v>
          </cell>
          <cell r="K15">
            <v>178.82970143999998</v>
          </cell>
          <cell r="L15">
            <v>0</v>
          </cell>
          <cell r="M15">
            <v>-31.099435369051211</v>
          </cell>
          <cell r="N15" t="str">
            <v xml:space="preserve">- 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EBITDA</v>
          </cell>
          <cell r="B17">
            <v>0</v>
          </cell>
          <cell r="C17">
            <v>696.81572513999936</v>
          </cell>
          <cell r="D17">
            <v>0</v>
          </cell>
          <cell r="E17">
            <v>635.01770064999289</v>
          </cell>
          <cell r="F17">
            <v>0</v>
          </cell>
          <cell r="G17">
            <v>9.7317010890800528</v>
          </cell>
          <cell r="H17">
            <v>0</v>
          </cell>
          <cell r="I17">
            <v>2482.5199117200004</v>
          </cell>
          <cell r="J17">
            <v>0</v>
          </cell>
          <cell r="K17">
            <v>2470.0963641199946</v>
          </cell>
          <cell r="L17">
            <v>0</v>
          </cell>
          <cell r="M17">
            <v>0.50295801331750323</v>
          </cell>
          <cell r="N17" t="str">
            <v xml:space="preserve">- </v>
          </cell>
        </row>
        <row r="18">
          <cell r="A18" t="str">
            <v xml:space="preserve">   - margin</v>
          </cell>
          <cell r="B18">
            <v>0</v>
          </cell>
          <cell r="C18">
            <v>0.35471377845374308</v>
          </cell>
          <cell r="D18">
            <v>0</v>
          </cell>
          <cell r="E18">
            <v>0.35682138562479815</v>
          </cell>
          <cell r="F18">
            <v>0</v>
          </cell>
          <cell r="G18">
            <v>0</v>
          </cell>
          <cell r="H18">
            <v>0</v>
          </cell>
          <cell r="I18">
            <v>0.32414432506228036</v>
          </cell>
          <cell r="J18">
            <v>0</v>
          </cell>
          <cell r="K18">
            <v>0.34650275429049199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Depreciation &amp; amortisation </v>
          </cell>
          <cell r="B20">
            <v>0</v>
          </cell>
          <cell r="C20">
            <v>327.56860697999991</v>
          </cell>
          <cell r="D20">
            <v>0</v>
          </cell>
          <cell r="E20">
            <v>320.58852877000004</v>
          </cell>
          <cell r="F20">
            <v>0</v>
          </cell>
          <cell r="G20">
            <v>2.1772701090648177</v>
          </cell>
          <cell r="H20" t="str">
            <v xml:space="preserve">- </v>
          </cell>
          <cell r="I20">
            <v>1304.29683052</v>
          </cell>
          <cell r="J20">
            <v>0</v>
          </cell>
          <cell r="K20">
            <v>1266.6674232100002</v>
          </cell>
          <cell r="L20">
            <v>0</v>
          </cell>
          <cell r="M20">
            <v>2.970740908030856</v>
          </cell>
          <cell r="N20" t="str">
            <v xml:space="preserve">- 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EBIT</v>
          </cell>
          <cell r="B22">
            <v>0</v>
          </cell>
          <cell r="C22">
            <v>369.24711815999945</v>
          </cell>
          <cell r="D22">
            <v>0</v>
          </cell>
          <cell r="E22">
            <v>314.42917187999285</v>
          </cell>
          <cell r="F22">
            <v>0</v>
          </cell>
          <cell r="G22">
            <v>17.434115909871359</v>
          </cell>
          <cell r="H22" t="str">
            <v xml:space="preserve">- </v>
          </cell>
          <cell r="I22">
            <v>1178.2230812000005</v>
          </cell>
          <cell r="J22">
            <v>0</v>
          </cell>
          <cell r="K22">
            <v>1203.4289409099945</v>
          </cell>
          <cell r="L22">
            <v>0</v>
          </cell>
          <cell r="M22">
            <v>-2.0945033689263064</v>
          </cell>
          <cell r="N22" t="str">
            <v xml:space="preserve">- 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NBN Migration revenues</v>
          </cell>
          <cell r="B24">
            <v>0</v>
          </cell>
          <cell r="C24">
            <v>93.278259019999993</v>
          </cell>
          <cell r="D24">
            <v>0</v>
          </cell>
          <cell r="E24">
            <v>17.10091546000001</v>
          </cell>
          <cell r="F24">
            <v>0</v>
          </cell>
          <cell r="G24">
            <v>445.45769340935584</v>
          </cell>
          <cell r="H24">
            <v>0</v>
          </cell>
          <cell r="I24">
            <v>183.89191116000001</v>
          </cell>
          <cell r="J24">
            <v>0</v>
          </cell>
          <cell r="K24">
            <v>190.72701128</v>
          </cell>
          <cell r="L24">
            <v>0</v>
          </cell>
          <cell r="M24">
            <v>-3.5837085026019775</v>
          </cell>
          <cell r="N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Ex-NBN Migration revenues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 xml:space="preserve">  Operating revenue</v>
          </cell>
          <cell r="B27">
            <v>0</v>
          </cell>
          <cell r="C27">
            <v>1871.1667878500034</v>
          </cell>
          <cell r="D27">
            <v>0</v>
          </cell>
          <cell r="E27">
            <v>1762.55054668</v>
          </cell>
          <cell r="F27">
            <v>0</v>
          </cell>
          <cell r="G27">
            <v>6.1624468798694378</v>
          </cell>
          <cell r="H27" t="str">
            <v xml:space="preserve">- </v>
          </cell>
          <cell r="I27">
            <v>7474.7950371400038</v>
          </cell>
          <cell r="J27">
            <v>0</v>
          </cell>
          <cell r="K27">
            <v>6937.9215594300022</v>
          </cell>
          <cell r="L27">
            <v>0</v>
          </cell>
          <cell r="M27">
            <v>7.7382465787651471</v>
          </cell>
          <cell r="N27" t="str">
            <v xml:space="preserve">- </v>
          </cell>
        </row>
        <row r="28">
          <cell r="A28" t="str">
            <v xml:space="preserve">  EBITDA</v>
          </cell>
          <cell r="B28">
            <v>0</v>
          </cell>
          <cell r="C28">
            <v>603.53746611999941</v>
          </cell>
          <cell r="D28">
            <v>0</v>
          </cell>
          <cell r="E28">
            <v>617.91678518999288</v>
          </cell>
          <cell r="F28">
            <v>0</v>
          </cell>
          <cell r="G28">
            <v>-2.327064001922559</v>
          </cell>
          <cell r="H28" t="str">
            <v xml:space="preserve">- </v>
          </cell>
          <cell r="I28">
            <v>2298.6280005600006</v>
          </cell>
          <cell r="J28">
            <v>0</v>
          </cell>
          <cell r="K28">
            <v>2279.3693528399945</v>
          </cell>
          <cell r="L28">
            <v>0</v>
          </cell>
          <cell r="M28">
            <v>0.84491123371518118</v>
          </cell>
          <cell r="N28" t="str">
            <v xml:space="preserve">- </v>
          </cell>
        </row>
        <row r="29">
          <cell r="A29" t="str">
            <v xml:space="preserve">  EBIT</v>
          </cell>
          <cell r="B29">
            <v>0</v>
          </cell>
          <cell r="C29">
            <v>275.96885913999944</v>
          </cell>
          <cell r="D29">
            <v>0</v>
          </cell>
          <cell r="E29">
            <v>297.32825641999284</v>
          </cell>
          <cell r="F29">
            <v>0</v>
          </cell>
          <cell r="G29">
            <v>-7.1837764554143329</v>
          </cell>
          <cell r="H29" t="str">
            <v xml:space="preserve">- </v>
          </cell>
          <cell r="I29">
            <v>994.33117004000042</v>
          </cell>
          <cell r="J29">
            <v>0</v>
          </cell>
          <cell r="K29">
            <v>1012.7019296299945</v>
          </cell>
          <cell r="L29">
            <v>0</v>
          </cell>
          <cell r="M29">
            <v>-1.8140342239405181</v>
          </cell>
          <cell r="N29" t="str">
            <v xml:space="preserve">- 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view="pageBreakPreview" zoomScale="70" zoomScaleNormal="70" zoomScaleSheetLayoutView="70" workbookViewId="0">
      <selection activeCell="B1" sqref="B1"/>
    </sheetView>
  </sheetViews>
  <sheetFormatPr defaultColWidth="9.28515625" defaultRowHeight="16.5"/>
  <cols>
    <col min="1" max="1" width="1.7109375" style="137" customWidth="1"/>
    <col min="2" max="2" width="10.5703125" style="137" customWidth="1"/>
    <col min="3" max="3" width="54.85546875" style="137" customWidth="1"/>
    <col min="4" max="5" width="19.28515625" style="137" hidden="1" customWidth="1"/>
    <col min="6" max="9" width="21.7109375" style="137" customWidth="1"/>
    <col min="10" max="10" width="8.42578125" style="141" customWidth="1"/>
    <col min="11" max="12" width="20.5703125" style="137" hidden="1" customWidth="1"/>
    <col min="13" max="14" width="17.85546875" style="137" customWidth="1"/>
    <col min="15" max="15" width="11.42578125" style="137" customWidth="1"/>
    <col min="16" max="17" width="10.5703125" style="137" customWidth="1"/>
    <col min="18" max="18" width="10.42578125" style="137" customWidth="1"/>
    <col min="19" max="16384" width="9.28515625" style="137"/>
  </cols>
  <sheetData>
    <row r="1" spans="1:18" s="773" customFormat="1" ht="21" customHeight="1">
      <c r="A1" s="140" t="s">
        <v>0</v>
      </c>
      <c r="J1" s="779"/>
    </row>
    <row r="2" spans="1:18" ht="8.25" customHeight="1">
      <c r="D2" s="141"/>
      <c r="E2" s="141"/>
      <c r="F2" s="141"/>
      <c r="G2" s="141"/>
      <c r="H2" s="141"/>
      <c r="I2" s="141"/>
    </row>
    <row r="3" spans="1:18" ht="18">
      <c r="A3" s="142" t="s">
        <v>1</v>
      </c>
      <c r="B3" s="163"/>
      <c r="D3" s="141"/>
      <c r="E3" s="141"/>
      <c r="F3" s="141"/>
      <c r="G3" s="141"/>
      <c r="H3" s="141"/>
      <c r="I3" s="141"/>
    </row>
    <row r="4" spans="1:18" ht="13.5" customHeight="1">
      <c r="A4" s="143"/>
    </row>
    <row r="5" spans="1:18" ht="18">
      <c r="A5" s="144"/>
      <c r="B5" s="145"/>
      <c r="C5" s="146"/>
      <c r="D5" s="807" t="s">
        <v>2</v>
      </c>
      <c r="E5" s="808"/>
      <c r="F5" s="807" t="s">
        <v>3</v>
      </c>
      <c r="G5" s="809"/>
      <c r="H5" s="807" t="s">
        <v>4</v>
      </c>
      <c r="I5" s="808"/>
      <c r="J5" s="147"/>
      <c r="K5" s="148"/>
      <c r="L5" s="148"/>
      <c r="M5" s="148"/>
      <c r="N5" s="148"/>
    </row>
    <row r="6" spans="1:18" ht="17.45" hidden="1" customHeight="1">
      <c r="A6" s="149" t="s">
        <v>5</v>
      </c>
      <c r="B6" s="150"/>
      <c r="C6" s="151"/>
      <c r="D6" s="152"/>
      <c r="E6" s="153"/>
      <c r="F6" s="154"/>
      <c r="G6" s="154"/>
      <c r="H6" s="152"/>
      <c r="I6" s="152"/>
      <c r="J6" s="147"/>
      <c r="K6" s="155"/>
      <c r="L6" s="155"/>
      <c r="M6" s="155"/>
      <c r="N6" s="155"/>
    </row>
    <row r="7" spans="1:18" ht="18">
      <c r="A7" s="156" t="s">
        <v>5</v>
      </c>
      <c r="B7" s="157"/>
      <c r="C7" s="158"/>
      <c r="D7" s="159" t="s">
        <v>6</v>
      </c>
      <c r="E7" s="159" t="s">
        <v>7</v>
      </c>
      <c r="F7" s="159" t="s">
        <v>6</v>
      </c>
      <c r="G7" s="160" t="s">
        <v>7</v>
      </c>
      <c r="H7" s="159" t="s">
        <v>6</v>
      </c>
      <c r="I7" s="236" t="s">
        <v>7</v>
      </c>
      <c r="J7" s="147"/>
      <c r="K7" s="161" t="s">
        <v>8</v>
      </c>
      <c r="L7" s="161" t="s">
        <v>2</v>
      </c>
      <c r="M7" s="161" t="s">
        <v>3</v>
      </c>
      <c r="N7" s="161" t="s">
        <v>4</v>
      </c>
    </row>
    <row r="8" spans="1:18" ht="18">
      <c r="A8" s="162" t="s">
        <v>9</v>
      </c>
      <c r="B8" s="163"/>
      <c r="C8" s="163"/>
      <c r="D8" s="164"/>
      <c r="E8" s="165"/>
      <c r="F8" s="164"/>
      <c r="G8" s="164"/>
      <c r="H8" s="164"/>
      <c r="I8" s="164"/>
      <c r="J8" s="166"/>
      <c r="K8" s="167"/>
      <c r="L8" s="167"/>
      <c r="M8" s="168"/>
      <c r="N8" s="169"/>
    </row>
    <row r="9" spans="1:18" ht="18">
      <c r="A9" s="162"/>
      <c r="B9" s="166" t="s">
        <v>10</v>
      </c>
      <c r="C9" s="166"/>
      <c r="D9" s="170">
        <v>7028</v>
      </c>
      <c r="E9" s="170">
        <v>7099</v>
      </c>
      <c r="F9" s="170">
        <v>6992</v>
      </c>
      <c r="G9" s="170">
        <v>7154</v>
      </c>
      <c r="H9" s="170">
        <v>6910</v>
      </c>
      <c r="I9" s="170">
        <v>7351</v>
      </c>
      <c r="J9" s="171"/>
      <c r="K9" s="170">
        <v>14624</v>
      </c>
      <c r="L9" s="170">
        <v>14128</v>
      </c>
      <c r="M9" s="170">
        <v>14146</v>
      </c>
      <c r="N9" s="170">
        <v>14261</v>
      </c>
      <c r="O9" s="172"/>
      <c r="P9" s="172"/>
      <c r="Q9" s="172"/>
      <c r="R9" s="172"/>
    </row>
    <row r="10" spans="1:18" ht="18">
      <c r="A10" s="162"/>
      <c r="B10" s="173" t="s">
        <v>11</v>
      </c>
      <c r="C10" s="173"/>
      <c r="D10" s="174">
        <v>-5368</v>
      </c>
      <c r="E10" s="174">
        <v>-5382</v>
      </c>
      <c r="F10" s="174">
        <v>-5172</v>
      </c>
      <c r="G10" s="174">
        <v>-5417</v>
      </c>
      <c r="H10" s="174">
        <v>-5083</v>
      </c>
      <c r="I10" s="174">
        <v>-5584</v>
      </c>
      <c r="J10" s="171"/>
      <c r="K10" s="174">
        <v>-11134</v>
      </c>
      <c r="L10" s="174">
        <v>-10750</v>
      </c>
      <c r="M10" s="174">
        <v>-10589</v>
      </c>
      <c r="N10" s="174">
        <v>-10668</v>
      </c>
      <c r="O10" s="172"/>
      <c r="P10" s="172"/>
      <c r="Q10" s="172"/>
      <c r="R10" s="172"/>
    </row>
    <row r="11" spans="1:18" ht="18">
      <c r="A11" s="162"/>
      <c r="B11" s="166" t="s">
        <v>12</v>
      </c>
      <c r="C11" s="166"/>
      <c r="D11" s="175">
        <v>1660</v>
      </c>
      <c r="E11" s="175">
        <v>1718</v>
      </c>
      <c r="F11" s="175">
        <v>1820</v>
      </c>
      <c r="G11" s="175">
        <v>1737</v>
      </c>
      <c r="H11" s="175">
        <v>1827</v>
      </c>
      <c r="I11" s="175">
        <v>1766</v>
      </c>
      <c r="J11" s="177"/>
      <c r="K11" s="175">
        <v>3491</v>
      </c>
      <c r="L11" s="175">
        <v>3378</v>
      </c>
      <c r="M11" s="175">
        <v>3557</v>
      </c>
      <c r="N11" s="175">
        <v>3593</v>
      </c>
      <c r="O11" s="172"/>
      <c r="P11" s="172"/>
      <c r="Q11" s="172"/>
      <c r="R11" s="172"/>
    </row>
    <row r="12" spans="1:18" ht="18">
      <c r="A12" s="162"/>
      <c r="B12" s="173" t="s">
        <v>13</v>
      </c>
      <c r="C12" s="173"/>
      <c r="D12" s="178">
        <v>127</v>
      </c>
      <c r="E12" s="178">
        <v>92</v>
      </c>
      <c r="F12" s="178">
        <v>127</v>
      </c>
      <c r="G12" s="178">
        <v>108</v>
      </c>
      <c r="H12" s="178">
        <v>156</v>
      </c>
      <c r="I12" s="178">
        <v>99</v>
      </c>
      <c r="J12" s="177"/>
      <c r="K12" s="178">
        <v>195</v>
      </c>
      <c r="L12" s="178">
        <v>219</v>
      </c>
      <c r="M12" s="178">
        <v>235</v>
      </c>
      <c r="N12" s="178">
        <v>255</v>
      </c>
      <c r="O12" s="172"/>
      <c r="P12" s="172"/>
      <c r="Q12" s="172"/>
      <c r="R12" s="172"/>
    </row>
    <row r="13" spans="1:18" s="143" customFormat="1" ht="18">
      <c r="A13" s="162"/>
      <c r="B13" s="180" t="s">
        <v>14</v>
      </c>
      <c r="C13" s="180"/>
      <c r="D13" s="181">
        <v>1787</v>
      </c>
      <c r="E13" s="181">
        <v>1810</v>
      </c>
      <c r="F13" s="181">
        <v>1947</v>
      </c>
      <c r="G13" s="181">
        <v>1845</v>
      </c>
      <c r="H13" s="181">
        <v>1982</v>
      </c>
      <c r="I13" s="181">
        <v>1865</v>
      </c>
      <c r="J13" s="182"/>
      <c r="K13" s="181">
        <v>3686</v>
      </c>
      <c r="L13" s="181">
        <v>3597</v>
      </c>
      <c r="M13" s="181">
        <v>3792</v>
      </c>
      <c r="N13" s="181">
        <v>3848</v>
      </c>
      <c r="O13" s="172"/>
      <c r="P13" s="172"/>
      <c r="Q13" s="172"/>
      <c r="R13" s="172"/>
    </row>
    <row r="14" spans="1:18" s="186" customFormat="1" ht="18">
      <c r="A14" s="183"/>
      <c r="B14" s="184" t="s">
        <v>15</v>
      </c>
      <c r="C14" s="184"/>
      <c r="D14" s="185">
        <v>0.254</v>
      </c>
      <c r="E14" s="185">
        <v>0.255</v>
      </c>
      <c r="F14" s="185">
        <v>0.27800000000000002</v>
      </c>
      <c r="G14" s="185">
        <v>0.25800000000000001</v>
      </c>
      <c r="H14" s="185">
        <v>0.28699999999999998</v>
      </c>
      <c r="I14" s="185">
        <v>0.254</v>
      </c>
      <c r="J14" s="184"/>
      <c r="K14" s="185">
        <v>0.252</v>
      </c>
      <c r="L14" s="185">
        <v>0.255</v>
      </c>
      <c r="M14" s="185">
        <v>0.26800000000000002</v>
      </c>
      <c r="N14" s="185">
        <v>0.27</v>
      </c>
      <c r="O14" s="172"/>
      <c r="P14" s="172"/>
      <c r="Q14" s="172"/>
      <c r="R14" s="172"/>
    </row>
    <row r="15" spans="1:18" ht="21" customHeight="1">
      <c r="A15" s="162"/>
      <c r="B15" s="810" t="s">
        <v>16</v>
      </c>
      <c r="C15" s="811"/>
      <c r="D15" s="178">
        <v>1195</v>
      </c>
      <c r="E15" s="178">
        <v>1143</v>
      </c>
      <c r="F15" s="178">
        <v>1169</v>
      </c>
      <c r="G15" s="178">
        <v>1330</v>
      </c>
      <c r="H15" s="178">
        <v>1379</v>
      </c>
      <c r="I15" s="178">
        <v>1508</v>
      </c>
      <c r="J15" s="177"/>
      <c r="K15" s="178">
        <v>2287</v>
      </c>
      <c r="L15" s="178">
        <v>2338</v>
      </c>
      <c r="M15" s="178">
        <v>2499</v>
      </c>
      <c r="N15" s="178">
        <v>2887</v>
      </c>
      <c r="O15" s="172"/>
      <c r="P15" s="172"/>
      <c r="Q15" s="172"/>
      <c r="R15" s="172"/>
    </row>
    <row r="16" spans="1:18" s="143" customFormat="1" ht="18">
      <c r="A16" s="162"/>
      <c r="B16" s="187" t="s">
        <v>17</v>
      </c>
      <c r="C16" s="187"/>
      <c r="D16" s="188">
        <f>2981+1</f>
        <v>2982</v>
      </c>
      <c r="E16" s="188">
        <v>2953</v>
      </c>
      <c r="F16" s="188">
        <v>3116</v>
      </c>
      <c r="G16" s="188">
        <v>3175</v>
      </c>
      <c r="H16" s="188">
        <v>3361</v>
      </c>
      <c r="I16" s="188">
        <v>3373</v>
      </c>
      <c r="J16" s="189"/>
      <c r="K16" s="188">
        <v>5973</v>
      </c>
      <c r="L16" s="188">
        <v>5935</v>
      </c>
      <c r="M16" s="188">
        <v>6291</v>
      </c>
      <c r="N16" s="188">
        <v>6734</v>
      </c>
      <c r="O16" s="172"/>
      <c r="P16" s="172"/>
      <c r="Q16" s="172"/>
      <c r="R16" s="172"/>
    </row>
    <row r="17" spans="1:18" s="143" customFormat="1" ht="18">
      <c r="A17" s="162"/>
      <c r="B17" s="190" t="s">
        <v>18</v>
      </c>
      <c r="C17" s="180"/>
      <c r="D17" s="191">
        <v>-1067</v>
      </c>
      <c r="E17" s="191">
        <v>-1096</v>
      </c>
      <c r="F17" s="191">
        <v>-1070</v>
      </c>
      <c r="G17" s="191">
        <v>-1045</v>
      </c>
      <c r="H17" s="191">
        <v>-992</v>
      </c>
      <c r="I17" s="191">
        <v>-1029</v>
      </c>
      <c r="J17" s="177"/>
      <c r="K17" s="191">
        <v>-2262</v>
      </c>
      <c r="L17" s="191">
        <v>-2163</v>
      </c>
      <c r="M17" s="191">
        <v>-2114</v>
      </c>
      <c r="N17" s="191">
        <v>-2021</v>
      </c>
      <c r="O17" s="172"/>
      <c r="P17" s="172"/>
      <c r="Q17" s="172"/>
      <c r="R17" s="172"/>
    </row>
    <row r="18" spans="1:18" s="143" customFormat="1" ht="18">
      <c r="A18" s="162"/>
      <c r="B18" s="190" t="s">
        <v>19</v>
      </c>
      <c r="C18" s="180"/>
      <c r="D18" s="191">
        <v>-141</v>
      </c>
      <c r="E18" s="191">
        <v>-141</v>
      </c>
      <c r="F18" s="191">
        <v>-139</v>
      </c>
      <c r="G18" s="191">
        <v>-157</v>
      </c>
      <c r="H18" s="191">
        <v>-160</v>
      </c>
      <c r="I18" s="191">
        <v>-163</v>
      </c>
      <c r="J18" s="177"/>
      <c r="K18" s="191">
        <v>-312</v>
      </c>
      <c r="L18" s="191">
        <v>-281</v>
      </c>
      <c r="M18" s="191">
        <v>-296</v>
      </c>
      <c r="N18" s="191">
        <v>-323</v>
      </c>
      <c r="O18" s="172"/>
      <c r="P18" s="172"/>
      <c r="Q18" s="172"/>
      <c r="R18" s="172"/>
    </row>
    <row r="19" spans="1:18" ht="18">
      <c r="A19" s="193"/>
      <c r="B19" s="173" t="s">
        <v>20</v>
      </c>
      <c r="C19" s="173"/>
      <c r="D19" s="178">
        <v>-1207</v>
      </c>
      <c r="E19" s="178">
        <v>-1237</v>
      </c>
      <c r="F19" s="178">
        <v>-1209</v>
      </c>
      <c r="G19" s="178">
        <v>-1202</v>
      </c>
      <c r="H19" s="178">
        <v>-1152</v>
      </c>
      <c r="I19" s="178">
        <v>-1192</v>
      </c>
      <c r="J19" s="177"/>
      <c r="K19" s="178">
        <v>-2574</v>
      </c>
      <c r="L19" s="178">
        <v>-2444</v>
      </c>
      <c r="M19" s="178">
        <v>-2411</v>
      </c>
      <c r="N19" s="178">
        <v>-2344</v>
      </c>
      <c r="O19" s="172"/>
      <c r="P19" s="172"/>
      <c r="Q19" s="172"/>
      <c r="R19" s="172"/>
    </row>
    <row r="20" spans="1:18" s="143" customFormat="1" ht="18">
      <c r="A20" s="162"/>
      <c r="B20" s="180" t="s">
        <v>21</v>
      </c>
      <c r="C20" s="180"/>
      <c r="D20" s="194">
        <v>1775</v>
      </c>
      <c r="E20" s="194">
        <v>1716</v>
      </c>
      <c r="F20" s="194">
        <v>1907</v>
      </c>
      <c r="G20" s="194">
        <v>1974</v>
      </c>
      <c r="H20" s="194">
        <v>2209</v>
      </c>
      <c r="I20" s="194">
        <v>2182</v>
      </c>
      <c r="J20" s="189"/>
      <c r="K20" s="194">
        <v>3399</v>
      </c>
      <c r="L20" s="194">
        <v>3491</v>
      </c>
      <c r="M20" s="194">
        <v>3880</v>
      </c>
      <c r="N20" s="194">
        <v>4390</v>
      </c>
      <c r="O20" s="172"/>
      <c r="P20" s="172"/>
      <c r="Q20" s="172"/>
      <c r="R20" s="172"/>
    </row>
    <row r="21" spans="1:18" ht="18">
      <c r="A21" s="162"/>
      <c r="B21" s="173" t="s">
        <v>22</v>
      </c>
      <c r="C21" s="173"/>
      <c r="D21" s="178">
        <v>-128</v>
      </c>
      <c r="E21" s="178">
        <v>-175</v>
      </c>
      <c r="F21" s="178">
        <v>-175</v>
      </c>
      <c r="G21" s="178">
        <v>-167</v>
      </c>
      <c r="H21" s="178">
        <v>-166</v>
      </c>
      <c r="I21" s="178">
        <v>-195</v>
      </c>
      <c r="J21" s="177"/>
      <c r="K21" s="178">
        <v>-359</v>
      </c>
      <c r="L21" s="178">
        <v>-303</v>
      </c>
      <c r="M21" s="178">
        <v>-343</v>
      </c>
      <c r="N21" s="178">
        <v>-361</v>
      </c>
      <c r="O21" s="172"/>
      <c r="P21" s="172"/>
      <c r="Q21" s="172"/>
      <c r="R21" s="172"/>
    </row>
    <row r="22" spans="1:18" s="143" customFormat="1" ht="18">
      <c r="A22" s="162"/>
      <c r="B22" s="180" t="s">
        <v>23</v>
      </c>
      <c r="C22" s="180"/>
      <c r="D22" s="194">
        <v>1646</v>
      </c>
      <c r="E22" s="194">
        <v>1542</v>
      </c>
      <c r="F22" s="194">
        <v>1731</v>
      </c>
      <c r="G22" s="194">
        <v>1807</v>
      </c>
      <c r="H22" s="194">
        <v>2043</v>
      </c>
      <c r="I22" s="194">
        <v>1987</v>
      </c>
      <c r="J22" s="189"/>
      <c r="K22" s="194">
        <v>3040</v>
      </c>
      <c r="L22" s="194">
        <v>3188</v>
      </c>
      <c r="M22" s="194">
        <v>3538</v>
      </c>
      <c r="N22" s="194">
        <v>4029</v>
      </c>
      <c r="O22" s="172"/>
      <c r="P22" s="172"/>
      <c r="Q22" s="172"/>
      <c r="R22" s="172"/>
    </row>
    <row r="23" spans="1:18" ht="18">
      <c r="A23" s="162"/>
      <c r="B23" s="166" t="s">
        <v>24</v>
      </c>
      <c r="C23" s="166"/>
      <c r="D23" s="178">
        <v>-521</v>
      </c>
      <c r="E23" s="178">
        <v>-398</v>
      </c>
      <c r="F23" s="178">
        <v>-535</v>
      </c>
      <c r="G23" s="178">
        <v>-522</v>
      </c>
      <c r="H23" s="178">
        <v>-683</v>
      </c>
      <c r="I23" s="178">
        <v>-566</v>
      </c>
      <c r="J23" s="177"/>
      <c r="K23" s="178">
        <v>-978</v>
      </c>
      <c r="L23" s="178">
        <v>-919</v>
      </c>
      <c r="M23" s="178">
        <v>-1057</v>
      </c>
      <c r="N23" s="178">
        <v>-1249</v>
      </c>
      <c r="O23" s="172"/>
      <c r="P23" s="172"/>
      <c r="Q23" s="172"/>
      <c r="R23" s="172"/>
    </row>
    <row r="24" spans="1:18" s="143" customFormat="1" ht="18">
      <c r="A24" s="162"/>
      <c r="B24" s="187" t="s">
        <v>25</v>
      </c>
      <c r="C24" s="187"/>
      <c r="D24" s="188">
        <f>1124+1</f>
        <v>1125</v>
      </c>
      <c r="E24" s="188">
        <v>1144</v>
      </c>
      <c r="F24" s="188">
        <v>1197</v>
      </c>
      <c r="G24" s="188">
        <v>1285</v>
      </c>
      <c r="H24" s="188">
        <v>1359</v>
      </c>
      <c r="I24" s="188">
        <v>1421</v>
      </c>
      <c r="J24" s="189"/>
      <c r="K24" s="188">
        <v>2062</v>
      </c>
      <c r="L24" s="188">
        <v>2269</v>
      </c>
      <c r="M24" s="188">
        <v>2481</v>
      </c>
      <c r="N24" s="188">
        <v>2780</v>
      </c>
      <c r="O24" s="172"/>
      <c r="P24" s="172"/>
      <c r="Q24" s="172"/>
      <c r="R24" s="172"/>
    </row>
    <row r="25" spans="1:18" ht="18">
      <c r="A25" s="162"/>
      <c r="B25" s="166" t="s">
        <v>26</v>
      </c>
      <c r="C25" s="166"/>
      <c r="D25" s="178">
        <v>-4</v>
      </c>
      <c r="E25" s="178">
        <v>-4</v>
      </c>
      <c r="F25" s="178">
        <v>-7</v>
      </c>
      <c r="G25" s="178">
        <v>-4</v>
      </c>
      <c r="H25" s="178">
        <v>-6</v>
      </c>
      <c r="I25" s="178">
        <v>-5</v>
      </c>
      <c r="J25" s="177"/>
      <c r="K25" s="178">
        <v>-8</v>
      </c>
      <c r="L25" s="178">
        <v>-9</v>
      </c>
      <c r="M25" s="178">
        <v>-11</v>
      </c>
      <c r="N25" s="178">
        <v>-11</v>
      </c>
      <c r="O25" s="172"/>
      <c r="P25" s="172"/>
      <c r="Q25" s="172"/>
      <c r="R25" s="172"/>
    </row>
    <row r="26" spans="1:18" s="143" customFormat="1" ht="23.65" customHeight="1" thickBot="1">
      <c r="A26" s="162"/>
      <c r="B26" s="196" t="s">
        <v>27</v>
      </c>
      <c r="C26" s="196"/>
      <c r="D26" s="197">
        <v>1121</v>
      </c>
      <c r="E26" s="197">
        <v>1140</v>
      </c>
      <c r="F26" s="197">
        <v>1190</v>
      </c>
      <c r="G26" s="197">
        <v>1280</v>
      </c>
      <c r="H26" s="197">
        <v>1353</v>
      </c>
      <c r="I26" s="197">
        <v>1416</v>
      </c>
      <c r="J26" s="189"/>
      <c r="K26" s="197">
        <v>2053</v>
      </c>
      <c r="L26" s="197">
        <v>2261</v>
      </c>
      <c r="M26" s="197">
        <v>2470</v>
      </c>
      <c r="N26" s="197">
        <v>2769</v>
      </c>
      <c r="O26" s="172"/>
      <c r="P26" s="172"/>
      <c r="Q26" s="172"/>
      <c r="R26" s="172"/>
    </row>
    <row r="27" spans="1:18" ht="19.899999999999999" customHeight="1" thickTop="1">
      <c r="A27" s="162"/>
      <c r="B27" s="166" t="s">
        <v>28</v>
      </c>
      <c r="C27" s="166"/>
      <c r="D27" s="178">
        <v>1015</v>
      </c>
      <c r="E27" s="178">
        <v>-2481</v>
      </c>
      <c r="F27" s="178">
        <v>42</v>
      </c>
      <c r="G27" s="178">
        <v>1505</v>
      </c>
      <c r="H27" s="178">
        <v>2050</v>
      </c>
      <c r="I27" s="178">
        <v>787</v>
      </c>
      <c r="J27" s="177"/>
      <c r="K27" s="178">
        <v>172</v>
      </c>
      <c r="L27" s="178">
        <v>-1466</v>
      </c>
      <c r="M27" s="178">
        <v>1547</v>
      </c>
      <c r="N27" s="178">
        <v>2837</v>
      </c>
      <c r="O27" s="172"/>
      <c r="P27" s="172"/>
      <c r="Q27" s="172"/>
      <c r="R27" s="172"/>
    </row>
    <row r="28" spans="1:18" s="143" customFormat="1" ht="24.6" customHeight="1" thickBot="1">
      <c r="A28" s="162"/>
      <c r="B28" s="196" t="s">
        <v>29</v>
      </c>
      <c r="C28" s="196"/>
      <c r="D28" s="197">
        <v>2136</v>
      </c>
      <c r="E28" s="197">
        <v>-1341</v>
      </c>
      <c r="F28" s="197">
        <v>1232</v>
      </c>
      <c r="G28" s="197">
        <v>2786</v>
      </c>
      <c r="H28" s="197">
        <v>3404</v>
      </c>
      <c r="I28" s="197">
        <v>2203</v>
      </c>
      <c r="J28" s="189"/>
      <c r="K28" s="197">
        <v>2225</v>
      </c>
      <c r="L28" s="197">
        <v>795</v>
      </c>
      <c r="M28" s="197">
        <v>4017</v>
      </c>
      <c r="N28" s="197">
        <v>5606</v>
      </c>
      <c r="O28" s="172"/>
      <c r="P28" s="172"/>
      <c r="Q28" s="172"/>
      <c r="R28" s="172"/>
    </row>
    <row r="29" spans="1:18" s="143" customFormat="1" ht="12" customHeight="1" thickTop="1">
      <c r="A29" s="162"/>
      <c r="B29" s="180"/>
      <c r="C29" s="180"/>
      <c r="D29" s="194"/>
      <c r="E29" s="194"/>
      <c r="F29" s="194"/>
      <c r="G29" s="194"/>
      <c r="H29" s="194"/>
      <c r="I29" s="194"/>
      <c r="J29" s="189"/>
      <c r="K29" s="194"/>
      <c r="L29" s="194"/>
      <c r="M29" s="194"/>
      <c r="N29" s="194"/>
      <c r="O29" s="172"/>
      <c r="P29" s="172"/>
      <c r="Q29" s="172"/>
      <c r="R29" s="172"/>
    </row>
    <row r="30" spans="1:18" s="143" customFormat="1" ht="18">
      <c r="A30" s="198" t="s">
        <v>30</v>
      </c>
      <c r="B30" s="199"/>
      <c r="C30" s="199"/>
      <c r="D30" s="200"/>
      <c r="E30" s="200"/>
      <c r="F30" s="200"/>
      <c r="G30" s="200"/>
      <c r="H30" s="200"/>
      <c r="I30" s="200"/>
      <c r="J30" s="201"/>
      <c r="K30" s="200"/>
      <c r="L30" s="200"/>
      <c r="M30" s="200"/>
      <c r="N30" s="200"/>
      <c r="O30" s="172"/>
      <c r="P30" s="172"/>
      <c r="Q30" s="172"/>
      <c r="R30" s="172"/>
    </row>
    <row r="31" spans="1:18" s="141" customFormat="1" ht="18">
      <c r="A31" s="202"/>
      <c r="B31" s="203" t="s">
        <v>31</v>
      </c>
      <c r="C31" s="166"/>
      <c r="D31" s="204">
        <v>2370</v>
      </c>
      <c r="E31" s="204">
        <v>2417</v>
      </c>
      <c r="F31" s="204">
        <v>2461</v>
      </c>
      <c r="G31" s="204">
        <v>2426</v>
      </c>
      <c r="H31" s="204">
        <v>2379</v>
      </c>
      <c r="I31" s="204">
        <v>2434</v>
      </c>
      <c r="J31" s="206"/>
      <c r="K31" s="204">
        <f>4964-62-70</f>
        <v>4832</v>
      </c>
      <c r="L31" s="204">
        <v>4787</v>
      </c>
      <c r="M31" s="204">
        <v>4887</v>
      </c>
      <c r="N31" s="204">
        <v>4814</v>
      </c>
      <c r="O31" s="172"/>
      <c r="P31" s="172"/>
      <c r="Q31" s="172"/>
      <c r="R31" s="172"/>
    </row>
    <row r="32" spans="1:18" s="141" customFormat="1" ht="18">
      <c r="A32" s="202"/>
      <c r="B32" s="203" t="s">
        <v>32</v>
      </c>
      <c r="C32" s="166"/>
      <c r="D32" s="204">
        <v>864</v>
      </c>
      <c r="E32" s="205">
        <f>1036</f>
        <v>1036</v>
      </c>
      <c r="F32" s="204">
        <v>902</v>
      </c>
      <c r="G32" s="204">
        <v>1014</v>
      </c>
      <c r="H32" s="204">
        <v>845</v>
      </c>
      <c r="I32" s="204">
        <v>1029</v>
      </c>
      <c r="J32" s="206"/>
      <c r="K32" s="204">
        <v>2055</v>
      </c>
      <c r="L32" s="204">
        <v>1900</v>
      </c>
      <c r="M32" s="204">
        <v>1916</v>
      </c>
      <c r="N32" s="204">
        <v>1874</v>
      </c>
      <c r="O32" s="172"/>
      <c r="P32" s="172"/>
      <c r="Q32" s="172"/>
      <c r="R32" s="172"/>
    </row>
    <row r="33" spans="1:18" s="141" customFormat="1" ht="18">
      <c r="A33" s="202"/>
      <c r="B33" s="203" t="s">
        <v>33</v>
      </c>
      <c r="C33" s="166"/>
      <c r="D33" s="204">
        <v>3234</v>
      </c>
      <c r="E33" s="205">
        <f>3453</f>
        <v>3453</v>
      </c>
      <c r="F33" s="204">
        <v>3363</v>
      </c>
      <c r="G33" s="204">
        <v>3440</v>
      </c>
      <c r="H33" s="204">
        <v>3224</v>
      </c>
      <c r="I33" s="204">
        <v>3464</v>
      </c>
      <c r="J33" s="206"/>
      <c r="K33" s="204">
        <f>7020-62-71</f>
        <v>6887</v>
      </c>
      <c r="L33" s="204">
        <v>6687</v>
      </c>
      <c r="M33" s="204">
        <v>6803</v>
      </c>
      <c r="N33" s="204">
        <v>6688</v>
      </c>
      <c r="O33" s="172"/>
      <c r="P33" s="172"/>
      <c r="Q33" s="172"/>
      <c r="R33" s="172"/>
    </row>
    <row r="34" spans="1:18" s="141" customFormat="1" ht="18">
      <c r="A34" s="202"/>
      <c r="B34" s="203" t="s">
        <v>34</v>
      </c>
      <c r="C34" s="166"/>
      <c r="D34" s="204">
        <v>1902</v>
      </c>
      <c r="E34" s="205">
        <f>1872</f>
        <v>1872</v>
      </c>
      <c r="F34" s="204">
        <v>1846</v>
      </c>
      <c r="G34" s="204">
        <v>2000</v>
      </c>
      <c r="H34" s="204">
        <v>1963</v>
      </c>
      <c r="I34" s="204">
        <v>2152</v>
      </c>
      <c r="J34" s="206"/>
      <c r="K34" s="204">
        <v>3846</v>
      </c>
      <c r="L34" s="204">
        <f>3774</f>
        <v>3774</v>
      </c>
      <c r="M34" s="204">
        <v>3846</v>
      </c>
      <c r="N34" s="204">
        <v>4116</v>
      </c>
      <c r="O34" s="172"/>
      <c r="P34" s="172"/>
      <c r="Q34" s="172"/>
      <c r="R34" s="172"/>
    </row>
    <row r="35" spans="1:18" s="141" customFormat="1" ht="18">
      <c r="A35" s="202"/>
      <c r="B35" s="203" t="s">
        <v>35</v>
      </c>
      <c r="C35" s="166"/>
      <c r="D35" s="204">
        <v>1554</v>
      </c>
      <c r="E35" s="205">
        <f>1454</f>
        <v>1454</v>
      </c>
      <c r="F35" s="204">
        <v>1480</v>
      </c>
      <c r="G35" s="204">
        <v>1423</v>
      </c>
      <c r="H35" s="204">
        <v>1424</v>
      </c>
      <c r="I35" s="204">
        <v>1444</v>
      </c>
      <c r="J35" s="206"/>
      <c r="K35" s="204">
        <f>3069+62+71</f>
        <v>3202</v>
      </c>
      <c r="L35" s="204">
        <f>3009</f>
        <v>3009</v>
      </c>
      <c r="M35" s="204">
        <v>2903</v>
      </c>
      <c r="N35" s="204">
        <v>2868</v>
      </c>
      <c r="O35" s="172"/>
      <c r="P35" s="172"/>
      <c r="Q35" s="172"/>
      <c r="R35" s="172"/>
    </row>
    <row r="36" spans="1:18" s="209" customFormat="1" ht="18">
      <c r="A36" s="207"/>
      <c r="B36" s="203" t="s">
        <v>36</v>
      </c>
      <c r="C36" s="208"/>
      <c r="D36" s="204">
        <v>174</v>
      </c>
      <c r="E36" s="204">
        <v>158</v>
      </c>
      <c r="F36" s="204">
        <v>156</v>
      </c>
      <c r="G36" s="204">
        <v>153</v>
      </c>
      <c r="H36" s="204">
        <v>152</v>
      </c>
      <c r="I36" s="204">
        <v>149</v>
      </c>
      <c r="J36" s="206"/>
      <c r="K36" s="204">
        <v>377</v>
      </c>
      <c r="L36" s="204">
        <v>332</v>
      </c>
      <c r="M36" s="204">
        <v>310</v>
      </c>
      <c r="N36" s="204">
        <v>301</v>
      </c>
      <c r="O36" s="172"/>
      <c r="P36" s="172"/>
      <c r="Q36" s="172"/>
      <c r="R36" s="172"/>
    </row>
    <row r="37" spans="1:18" s="141" customFormat="1" ht="18">
      <c r="A37" s="202"/>
      <c r="B37" s="166" t="s">
        <v>37</v>
      </c>
      <c r="C37" s="166"/>
      <c r="D37" s="210">
        <v>102</v>
      </c>
      <c r="E37" s="210">
        <v>97</v>
      </c>
      <c r="F37" s="210">
        <v>97</v>
      </c>
      <c r="G37" s="210">
        <v>91</v>
      </c>
      <c r="H37" s="210">
        <v>87</v>
      </c>
      <c r="I37" s="210">
        <v>83</v>
      </c>
      <c r="J37" s="211"/>
      <c r="K37" s="210">
        <v>218</v>
      </c>
      <c r="L37" s="210">
        <f>199</f>
        <v>199</v>
      </c>
      <c r="M37" s="210">
        <v>188</v>
      </c>
      <c r="N37" s="210">
        <v>170</v>
      </c>
      <c r="O37" s="172"/>
      <c r="P37" s="172"/>
      <c r="Q37" s="172"/>
      <c r="R37" s="172"/>
    </row>
    <row r="38" spans="1:18" s="214" customFormat="1" ht="18.75" thickBot="1">
      <c r="A38" s="212"/>
      <c r="B38" s="213" t="s">
        <v>38</v>
      </c>
      <c r="C38" s="213"/>
      <c r="D38" s="205">
        <f>49+14-1</f>
        <v>62</v>
      </c>
      <c r="E38" s="204">
        <v>65</v>
      </c>
      <c r="F38" s="204">
        <v>50</v>
      </c>
      <c r="G38" s="204">
        <v>47</v>
      </c>
      <c r="H38" s="204">
        <v>61</v>
      </c>
      <c r="I38" s="204">
        <v>58</v>
      </c>
      <c r="J38" s="206"/>
      <c r="K38" s="204">
        <f>70+26-1</f>
        <v>95</v>
      </c>
      <c r="L38" s="204">
        <v>127</v>
      </c>
      <c r="M38" s="204">
        <v>97</v>
      </c>
      <c r="N38" s="204">
        <v>118</v>
      </c>
      <c r="O38" s="172"/>
      <c r="P38" s="172"/>
      <c r="Q38" s="172"/>
      <c r="R38" s="172"/>
    </row>
    <row r="39" spans="1:18" s="141" customFormat="1" ht="18.75" thickBot="1">
      <c r="A39" s="202"/>
      <c r="B39" s="166"/>
      <c r="C39" s="139"/>
      <c r="D39" s="757">
        <v>7028</v>
      </c>
      <c r="E39" s="757">
        <v>7099</v>
      </c>
      <c r="F39" s="791">
        <v>6992</v>
      </c>
      <c r="G39" s="791">
        <v>7154</v>
      </c>
      <c r="H39" s="791">
        <v>6910</v>
      </c>
      <c r="I39" s="791">
        <v>7351</v>
      </c>
      <c r="J39" s="503"/>
      <c r="K39" s="757">
        <v>14624</v>
      </c>
      <c r="L39" s="757">
        <v>14128</v>
      </c>
      <c r="M39" s="791">
        <v>14146</v>
      </c>
      <c r="N39" s="792">
        <v>14261</v>
      </c>
      <c r="O39" s="172"/>
      <c r="P39" s="172"/>
      <c r="Q39" s="172"/>
      <c r="R39" s="172"/>
    </row>
    <row r="40" spans="1:18" s="220" customFormat="1" ht="18">
      <c r="A40" s="216" t="s">
        <v>39</v>
      </c>
      <c r="B40" s="217"/>
      <c r="C40" s="758"/>
      <c r="D40" s="759"/>
      <c r="E40" s="759"/>
      <c r="F40" s="759"/>
      <c r="G40" s="759"/>
      <c r="H40" s="759"/>
      <c r="I40" s="759"/>
      <c r="J40" s="760"/>
      <c r="K40" s="759"/>
      <c r="L40" s="759"/>
      <c r="M40" s="759"/>
      <c r="N40" s="218"/>
      <c r="O40" s="172"/>
      <c r="P40" s="172"/>
      <c r="Q40" s="172"/>
      <c r="R40" s="172"/>
    </row>
    <row r="41" spans="1:18" s="141" customFormat="1" ht="21" customHeight="1">
      <c r="A41" s="202"/>
      <c r="B41" s="221" t="s">
        <v>42</v>
      </c>
      <c r="C41" s="139"/>
      <c r="D41" s="222">
        <f>1938+16</f>
        <v>1954</v>
      </c>
      <c r="E41" s="222">
        <f>2117+27</f>
        <v>2144</v>
      </c>
      <c r="F41" s="222">
        <f>1881+25+61+3</f>
        <v>1970</v>
      </c>
      <c r="G41" s="222">
        <f>2220+39-15</f>
        <v>2244</v>
      </c>
      <c r="H41" s="222">
        <v>1974</v>
      </c>
      <c r="I41" s="222">
        <v>2325</v>
      </c>
      <c r="J41" s="223"/>
      <c r="K41" s="222">
        <v>4241</v>
      </c>
      <c r="L41" s="222">
        <f>4055+43</f>
        <v>4098</v>
      </c>
      <c r="M41" s="222">
        <f>4126+100-12</f>
        <v>4214</v>
      </c>
      <c r="N41" s="224">
        <v>4299</v>
      </c>
      <c r="O41" s="172"/>
      <c r="P41" s="172"/>
      <c r="Q41" s="172"/>
      <c r="R41" s="172"/>
    </row>
    <row r="42" spans="1:18" s="141" customFormat="1" ht="21">
      <c r="A42" s="202"/>
      <c r="B42" s="166" t="s">
        <v>41</v>
      </c>
      <c r="C42" s="139"/>
      <c r="D42" s="222">
        <v>1475</v>
      </c>
      <c r="E42" s="222">
        <v>1321</v>
      </c>
      <c r="F42" s="222">
        <f>1321-22</f>
        <v>1299</v>
      </c>
      <c r="G42" s="222">
        <f>1312-11</f>
        <v>1301</v>
      </c>
      <c r="H42" s="222">
        <v>1316</v>
      </c>
      <c r="I42" s="222">
        <v>1334</v>
      </c>
      <c r="J42" s="223"/>
      <c r="K42" s="222">
        <v>2898</v>
      </c>
      <c r="L42" s="222">
        <v>2796</v>
      </c>
      <c r="M42" s="222">
        <f>2633-33</f>
        <v>2600</v>
      </c>
      <c r="N42" s="224">
        <v>2650</v>
      </c>
      <c r="O42" s="172"/>
      <c r="P42" s="172"/>
      <c r="Q42" s="172"/>
      <c r="R42" s="172"/>
    </row>
    <row r="43" spans="1:18" s="141" customFormat="1" ht="21">
      <c r="A43" s="202"/>
      <c r="B43" s="221" t="s">
        <v>288</v>
      </c>
      <c r="C43" s="139"/>
      <c r="D43" s="222">
        <v>942</v>
      </c>
      <c r="E43" s="222">
        <v>948</v>
      </c>
      <c r="F43" s="222">
        <f>928-39</f>
        <v>889</v>
      </c>
      <c r="G43" s="222">
        <f>899-27</f>
        <v>872</v>
      </c>
      <c r="H43" s="222">
        <v>804</v>
      </c>
      <c r="I43" s="222">
        <v>941</v>
      </c>
      <c r="J43" s="223"/>
      <c r="K43" s="222">
        <v>1918</v>
      </c>
      <c r="L43" s="222">
        <v>1890</v>
      </c>
      <c r="M43" s="222">
        <f>1827-66</f>
        <v>1761</v>
      </c>
      <c r="N43" s="224">
        <v>1744</v>
      </c>
      <c r="O43" s="172"/>
      <c r="P43" s="172"/>
      <c r="Q43" s="172"/>
      <c r="R43" s="172"/>
    </row>
    <row r="44" spans="1:18" s="141" customFormat="1" ht="21">
      <c r="A44" s="202"/>
      <c r="B44" s="225" t="s">
        <v>40</v>
      </c>
      <c r="C44" s="139"/>
      <c r="D44" s="222">
        <f>752-16</f>
        <v>736</v>
      </c>
      <c r="E44" s="222">
        <f>729-27</f>
        <v>702</v>
      </c>
      <c r="F44" s="222">
        <f>735-25-12</f>
        <v>698</v>
      </c>
      <c r="G44" s="222">
        <v>695</v>
      </c>
      <c r="H44" s="222">
        <v>672</v>
      </c>
      <c r="I44" s="222">
        <v>673</v>
      </c>
      <c r="J44" s="223"/>
      <c r="K44" s="222">
        <v>1534</v>
      </c>
      <c r="L44" s="222">
        <f>1481-43</f>
        <v>1438</v>
      </c>
      <c r="M44" s="222">
        <f>1406-13</f>
        <v>1393</v>
      </c>
      <c r="N44" s="224">
        <v>1345</v>
      </c>
      <c r="O44" s="172"/>
      <c r="P44" s="172"/>
      <c r="Q44" s="172"/>
      <c r="R44" s="172"/>
    </row>
    <row r="45" spans="1:18" ht="18">
      <c r="A45" s="202"/>
      <c r="B45" s="166" t="s">
        <v>43</v>
      </c>
      <c r="C45" s="139"/>
      <c r="D45" s="205">
        <v>238</v>
      </c>
      <c r="E45" s="205">
        <v>244</v>
      </c>
      <c r="F45" s="205">
        <v>266</v>
      </c>
      <c r="G45" s="205">
        <v>269</v>
      </c>
      <c r="H45" s="205">
        <v>273</v>
      </c>
      <c r="I45" s="205">
        <v>280</v>
      </c>
      <c r="J45" s="226"/>
      <c r="K45" s="205">
        <v>479</v>
      </c>
      <c r="L45" s="205">
        <v>483</v>
      </c>
      <c r="M45" s="205">
        <f>535</f>
        <v>535</v>
      </c>
      <c r="N45" s="204">
        <v>553</v>
      </c>
      <c r="O45" s="172"/>
      <c r="P45" s="172"/>
      <c r="Q45" s="172"/>
      <c r="R45" s="172"/>
    </row>
    <row r="46" spans="1:18" ht="21.75" thickBot="1">
      <c r="A46" s="202"/>
      <c r="B46" s="166" t="s">
        <v>271</v>
      </c>
      <c r="C46" s="139"/>
      <c r="D46" s="205">
        <v>24</v>
      </c>
      <c r="E46" s="205">
        <v>22</v>
      </c>
      <c r="F46" s="205">
        <f>41+10</f>
        <v>51</v>
      </c>
      <c r="G46" s="205">
        <f>21+15</f>
        <v>36</v>
      </c>
      <c r="H46" s="205">
        <v>45</v>
      </c>
      <c r="I46" s="205">
        <v>32</v>
      </c>
      <c r="J46" s="226"/>
      <c r="K46" s="205">
        <v>63</v>
      </c>
      <c r="L46" s="205">
        <v>45</v>
      </c>
      <c r="M46" s="205">
        <f>62+25</f>
        <v>87</v>
      </c>
      <c r="N46" s="204">
        <v>76</v>
      </c>
      <c r="O46" s="172"/>
      <c r="P46" s="172"/>
      <c r="Q46" s="172"/>
      <c r="R46" s="172"/>
    </row>
    <row r="47" spans="1:18" ht="18">
      <c r="A47" s="227"/>
      <c r="B47" s="173"/>
      <c r="C47" s="761"/>
      <c r="D47" s="762">
        <v>5368</v>
      </c>
      <c r="E47" s="762">
        <v>5382</v>
      </c>
      <c r="F47" s="791">
        <v>5172</v>
      </c>
      <c r="G47" s="791">
        <v>5417</v>
      </c>
      <c r="H47" s="791">
        <v>5083</v>
      </c>
      <c r="I47" s="791">
        <v>5584</v>
      </c>
      <c r="J47" s="503"/>
      <c r="K47" s="762">
        <v>11134</v>
      </c>
      <c r="L47" s="762">
        <v>10750</v>
      </c>
      <c r="M47" s="791">
        <v>10589</v>
      </c>
      <c r="N47" s="792">
        <v>10668</v>
      </c>
      <c r="O47" s="172"/>
      <c r="P47" s="172"/>
      <c r="Q47" s="172"/>
      <c r="R47" s="172"/>
    </row>
    <row r="48" spans="1:18" ht="18">
      <c r="A48" s="163"/>
      <c r="B48" s="166"/>
      <c r="C48" s="763"/>
      <c r="D48" s="764"/>
      <c r="E48" s="503"/>
      <c r="F48" s="503"/>
      <c r="G48" s="503"/>
      <c r="H48" s="503"/>
      <c r="I48" s="503"/>
      <c r="J48" s="503"/>
      <c r="K48" s="141"/>
      <c r="L48" s="229"/>
      <c r="M48" s="229"/>
      <c r="N48" s="229"/>
      <c r="O48" s="228"/>
      <c r="P48" s="228"/>
      <c r="Q48" s="228"/>
      <c r="R48" s="228"/>
    </row>
    <row r="49" spans="1:18" s="232" customFormat="1" ht="18">
      <c r="A49" s="230"/>
      <c r="B49" s="139" t="s">
        <v>44</v>
      </c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0"/>
      <c r="P49" s="136"/>
      <c r="Q49" s="136"/>
      <c r="R49" s="208"/>
    </row>
    <row r="50" spans="1:18" s="163" customFormat="1" ht="18">
      <c r="A50" s="139"/>
      <c r="B50" s="230" t="s">
        <v>45</v>
      </c>
      <c r="C50" s="139"/>
      <c r="D50" s="233"/>
      <c r="E50" s="233"/>
      <c r="F50" s="233"/>
      <c r="G50" s="233"/>
      <c r="H50" s="233"/>
      <c r="I50" s="233"/>
      <c r="J50" s="139"/>
      <c r="K50" s="233"/>
      <c r="L50" s="234"/>
      <c r="M50" s="233"/>
      <c r="N50" s="233"/>
      <c r="O50" s="139"/>
      <c r="P50" s="166"/>
      <c r="Q50" s="166"/>
      <c r="R50" s="166"/>
    </row>
    <row r="51" spans="1:18" ht="18">
      <c r="A51" s="141"/>
      <c r="B51" s="230" t="s">
        <v>289</v>
      </c>
      <c r="C51" s="228"/>
      <c r="D51" s="228"/>
      <c r="E51" s="228"/>
      <c r="F51" s="228"/>
      <c r="G51" s="228"/>
      <c r="H51" s="228"/>
      <c r="I51" s="228"/>
      <c r="J51" s="228"/>
      <c r="K51" s="228"/>
      <c r="L51" s="235"/>
      <c r="M51" s="228"/>
      <c r="N51" s="228"/>
      <c r="O51" s="228"/>
      <c r="P51" s="228"/>
      <c r="Q51" s="228"/>
      <c r="R51" s="228"/>
    </row>
    <row r="52" spans="1:18" ht="13.5" customHeight="1"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</row>
    <row r="53" spans="1:18" ht="13.5" customHeight="1"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</row>
    <row r="54" spans="1:18"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</row>
    <row r="55" spans="1:18"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</row>
  </sheetData>
  <dataConsolidate/>
  <mergeCells count="4">
    <mergeCell ref="B15:C15"/>
    <mergeCell ref="D5:E5"/>
    <mergeCell ref="F5:G5"/>
    <mergeCell ref="H5:I5"/>
  </mergeCells>
  <pageMargins left="0.31496062992125984" right="0.31496062992125984" top="0.15748031496062992" bottom="0.15748031496062992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463A-FDF0-479E-981F-4E29A2C11970}">
  <sheetPr>
    <pageSetUpPr fitToPage="1"/>
  </sheetPr>
  <dimension ref="A1:M46"/>
  <sheetViews>
    <sheetView showGridLines="0" view="pageBreakPreview" zoomScale="70" zoomScaleNormal="90" zoomScaleSheetLayoutView="70" workbookViewId="0">
      <pane ySplit="6" topLeftCell="A7" activePane="bottomLeft" state="frozen"/>
      <selection activeCell="B1" sqref="B1"/>
      <selection pane="bottomLeft" activeCell="B1" sqref="B1"/>
    </sheetView>
  </sheetViews>
  <sheetFormatPr defaultColWidth="8" defaultRowHeight="12.75" customHeight="1"/>
  <cols>
    <col min="1" max="1" width="57.28515625" style="616" customWidth="1"/>
    <col min="2" max="3" width="19.7109375" style="616" hidden="1" customWidth="1"/>
    <col min="4" max="5" width="19.7109375" style="616" customWidth="1"/>
    <col min="6" max="7" width="23.140625" style="616" customWidth="1"/>
    <col min="8" max="8" width="5.85546875" style="616" customWidth="1"/>
    <col min="9" max="9" width="19.7109375" style="616" hidden="1" customWidth="1"/>
    <col min="10" max="11" width="19.7109375" style="616" customWidth="1"/>
    <col min="12" max="12" width="8" style="616"/>
    <col min="13" max="13" width="13.5703125" style="616" customWidth="1"/>
    <col min="14" max="16384" width="8" style="616"/>
  </cols>
  <sheetData>
    <row r="1" spans="1:13" ht="2.1" customHeight="1"/>
    <row r="2" spans="1:13" s="137" customFormat="1" ht="21" customHeight="1">
      <c r="A2" s="617" t="s">
        <v>162</v>
      </c>
      <c r="B2" s="618" t="s">
        <v>51</v>
      </c>
      <c r="C2" s="618" t="s">
        <v>51</v>
      </c>
      <c r="D2" s="618" t="s">
        <v>51</v>
      </c>
      <c r="E2" s="618" t="s">
        <v>51</v>
      </c>
      <c r="F2" s="618" t="s">
        <v>51</v>
      </c>
      <c r="G2" s="618" t="s">
        <v>51</v>
      </c>
      <c r="H2" s="618" t="s">
        <v>51</v>
      </c>
      <c r="I2" s="619"/>
      <c r="J2" s="619"/>
      <c r="K2" s="619"/>
    </row>
    <row r="3" spans="1:13" s="624" customFormat="1" ht="21.75" customHeight="1">
      <c r="A3" s="620" t="s">
        <v>202</v>
      </c>
      <c r="B3" s="621"/>
      <c r="C3" s="621"/>
      <c r="D3" s="621"/>
      <c r="E3" s="621"/>
      <c r="F3" s="621"/>
      <c r="G3" s="621"/>
      <c r="H3" s="622" t="s">
        <v>51</v>
      </c>
      <c r="I3" s="619"/>
      <c r="J3" s="619"/>
      <c r="K3" s="619"/>
      <c r="L3" s="623"/>
      <c r="M3" s="623"/>
    </row>
    <row r="4" spans="1:13" s="626" customFormat="1" ht="18">
      <c r="A4" s="619"/>
      <c r="B4" s="619"/>
      <c r="C4" s="619"/>
      <c r="D4" s="619"/>
      <c r="E4" s="619"/>
      <c r="F4" s="619"/>
      <c r="G4" s="619"/>
      <c r="H4" s="370" t="s">
        <v>51</v>
      </c>
      <c r="I4" s="619"/>
      <c r="J4" s="619"/>
      <c r="K4" s="619"/>
      <c r="L4" s="625"/>
      <c r="M4" s="625"/>
    </row>
    <row r="5" spans="1:13" s="630" customFormat="1" ht="18">
      <c r="A5" s="627" t="s">
        <v>51</v>
      </c>
      <c r="B5" s="807" t="s">
        <v>2</v>
      </c>
      <c r="C5" s="808"/>
      <c r="D5" s="807" t="s">
        <v>3</v>
      </c>
      <c r="E5" s="809"/>
      <c r="F5" s="807" t="s">
        <v>4</v>
      </c>
      <c r="G5" s="808"/>
      <c r="H5" s="370" t="s">
        <v>51</v>
      </c>
      <c r="I5" s="628" t="s">
        <v>51</v>
      </c>
      <c r="J5" s="628" t="s">
        <v>51</v>
      </c>
      <c r="K5" s="629" t="s">
        <v>51</v>
      </c>
      <c r="L5" s="625"/>
      <c r="M5" s="625"/>
    </row>
    <row r="6" spans="1:13" s="630" customFormat="1" ht="18">
      <c r="A6" s="631" t="s">
        <v>51</v>
      </c>
      <c r="B6" s="138" t="s">
        <v>6</v>
      </c>
      <c r="C6" s="138" t="s">
        <v>7</v>
      </c>
      <c r="D6" s="138" t="s">
        <v>6</v>
      </c>
      <c r="E6" s="138" t="s">
        <v>7</v>
      </c>
      <c r="F6" s="138" t="s">
        <v>6</v>
      </c>
      <c r="G6" s="138" t="s">
        <v>7</v>
      </c>
      <c r="H6" s="370" t="s">
        <v>51</v>
      </c>
      <c r="I6" s="161" t="s">
        <v>2</v>
      </c>
      <c r="J6" s="161" t="s">
        <v>3</v>
      </c>
      <c r="K6" s="161" t="s">
        <v>4</v>
      </c>
      <c r="L6" s="625"/>
      <c r="M6" s="625"/>
    </row>
    <row r="7" spans="1:13" s="625" customFormat="1" ht="18">
      <c r="A7" s="632" t="s">
        <v>51</v>
      </c>
      <c r="B7" s="633" t="s">
        <v>51</v>
      </c>
      <c r="C7" s="633" t="s">
        <v>51</v>
      </c>
      <c r="D7" s="634" t="s">
        <v>51</v>
      </c>
      <c r="E7" s="634" t="s">
        <v>51</v>
      </c>
      <c r="F7" s="634" t="s">
        <v>51</v>
      </c>
      <c r="G7" s="634" t="s">
        <v>51</v>
      </c>
      <c r="H7" s="635" t="s">
        <v>51</v>
      </c>
      <c r="I7" s="311" t="s">
        <v>51</v>
      </c>
      <c r="J7" s="311" t="s">
        <v>51</v>
      </c>
      <c r="K7" s="636" t="s">
        <v>51</v>
      </c>
    </row>
    <row r="8" spans="1:13" s="626" customFormat="1" ht="18" hidden="1">
      <c r="A8" s="632" t="s">
        <v>203</v>
      </c>
      <c r="B8" s="637">
        <v>2621</v>
      </c>
      <c r="C8" s="638">
        <v>2803</v>
      </c>
      <c r="D8" s="639">
        <v>2741</v>
      </c>
      <c r="E8" s="639">
        <v>2922</v>
      </c>
      <c r="F8" s="639"/>
      <c r="G8" s="639"/>
      <c r="H8" s="640" t="s">
        <v>51</v>
      </c>
      <c r="I8" s="317">
        <v>5425</v>
      </c>
      <c r="J8" s="261">
        <v>5663</v>
      </c>
      <c r="K8" s="641"/>
      <c r="L8" s="625"/>
      <c r="M8" s="625"/>
    </row>
    <row r="9" spans="1:13" s="626" customFormat="1" ht="18" hidden="1">
      <c r="A9" s="632" t="s">
        <v>51</v>
      </c>
      <c r="B9" s="642" t="s">
        <v>51</v>
      </c>
      <c r="C9" s="643" t="s">
        <v>51</v>
      </c>
      <c r="D9" s="644" t="s">
        <v>51</v>
      </c>
      <c r="E9" s="644" t="s">
        <v>51</v>
      </c>
      <c r="F9" s="644"/>
      <c r="G9" s="644"/>
      <c r="H9" s="640" t="s">
        <v>51</v>
      </c>
      <c r="I9" s="310" t="s">
        <v>51</v>
      </c>
      <c r="J9" s="645" t="s">
        <v>51</v>
      </c>
      <c r="K9" s="646"/>
      <c r="L9" s="625"/>
      <c r="M9" s="625"/>
    </row>
    <row r="10" spans="1:13" s="626" customFormat="1" ht="18" hidden="1">
      <c r="A10" s="632" t="s">
        <v>204</v>
      </c>
      <c r="B10" s="637">
        <v>1947</v>
      </c>
      <c r="C10" s="638">
        <v>1996</v>
      </c>
      <c r="D10" s="639">
        <v>2027</v>
      </c>
      <c r="E10" s="639">
        <v>2078</v>
      </c>
      <c r="F10" s="639"/>
      <c r="G10" s="639"/>
      <c r="H10" s="640" t="s">
        <v>51</v>
      </c>
      <c r="I10" s="317">
        <v>3943</v>
      </c>
      <c r="J10" s="261">
        <v>4105</v>
      </c>
      <c r="K10" s="641"/>
    </row>
    <row r="11" spans="1:13" s="626" customFormat="1" ht="18" hidden="1">
      <c r="A11" s="632" t="s">
        <v>51</v>
      </c>
      <c r="B11" s="642" t="s">
        <v>51</v>
      </c>
      <c r="C11" s="643" t="s">
        <v>51</v>
      </c>
      <c r="D11" s="634" t="s">
        <v>51</v>
      </c>
      <c r="E11" s="634" t="s">
        <v>51</v>
      </c>
      <c r="F11" s="634"/>
      <c r="G11" s="634"/>
      <c r="H11" s="640" t="s">
        <v>51</v>
      </c>
      <c r="I11" s="310" t="s">
        <v>51</v>
      </c>
      <c r="J11" s="645" t="s">
        <v>51</v>
      </c>
      <c r="K11" s="646"/>
    </row>
    <row r="12" spans="1:13" s="626" customFormat="1" ht="18">
      <c r="A12" s="647" t="s">
        <v>33</v>
      </c>
      <c r="B12" s="642" t="s">
        <v>51</v>
      </c>
      <c r="C12" s="643" t="s">
        <v>51</v>
      </c>
      <c r="D12" s="646" t="s">
        <v>51</v>
      </c>
      <c r="E12" s="646" t="s">
        <v>51</v>
      </c>
      <c r="F12" s="646"/>
      <c r="G12" s="646"/>
      <c r="H12" s="640" t="s">
        <v>51</v>
      </c>
      <c r="I12" s="310" t="s">
        <v>51</v>
      </c>
      <c r="J12" s="645" t="s">
        <v>51</v>
      </c>
      <c r="K12" s="646"/>
    </row>
    <row r="13" spans="1:13" s="626" customFormat="1" ht="18">
      <c r="A13" s="648" t="s">
        <v>247</v>
      </c>
      <c r="B13" s="642" t="s">
        <v>51</v>
      </c>
      <c r="C13" s="643" t="s">
        <v>51</v>
      </c>
      <c r="D13" s="646" t="s">
        <v>51</v>
      </c>
      <c r="E13" s="646" t="s">
        <v>51</v>
      </c>
      <c r="F13" s="646"/>
      <c r="G13" s="646"/>
      <c r="H13" s="640" t="s">
        <v>51</v>
      </c>
      <c r="I13" s="310" t="s">
        <v>51</v>
      </c>
      <c r="J13" s="645" t="s">
        <v>51</v>
      </c>
      <c r="K13" s="646"/>
    </row>
    <row r="14" spans="1:13" s="626" customFormat="1" ht="18">
      <c r="A14" s="649" t="s">
        <v>294</v>
      </c>
      <c r="B14" s="650">
        <v>3456</v>
      </c>
      <c r="C14" s="650">
        <v>3456</v>
      </c>
      <c r="D14" s="651">
        <v>3679</v>
      </c>
      <c r="E14" s="652">
        <v>3800</v>
      </c>
      <c r="F14" s="651">
        <v>3803</v>
      </c>
      <c r="G14" s="740">
        <v>3866.7669999999998</v>
      </c>
      <c r="H14" s="653" t="s">
        <v>51</v>
      </c>
      <c r="I14" s="365">
        <v>3456</v>
      </c>
      <c r="J14" s="741">
        <v>3799.991</v>
      </c>
      <c r="K14" s="740">
        <v>3866.7669999999998</v>
      </c>
    </row>
    <row r="15" spans="1:13" s="625" customFormat="1" ht="18">
      <c r="A15" s="649" t="s">
        <v>207</v>
      </c>
      <c r="B15" s="650">
        <v>5985</v>
      </c>
      <c r="C15" s="650">
        <v>5960</v>
      </c>
      <c r="D15" s="651">
        <v>5813</v>
      </c>
      <c r="E15" s="652">
        <v>5841</v>
      </c>
      <c r="F15" s="652">
        <v>5843</v>
      </c>
      <c r="G15" s="740">
        <v>5808.3559999999998</v>
      </c>
      <c r="H15" s="640" t="s">
        <v>51</v>
      </c>
      <c r="I15" s="338">
        <v>5960</v>
      </c>
      <c r="J15" s="741">
        <v>5841.2</v>
      </c>
      <c r="K15" s="740">
        <v>5808.3559999999998</v>
      </c>
    </row>
    <row r="16" spans="1:13" s="625" customFormat="1" ht="21">
      <c r="A16" s="649" t="s">
        <v>206</v>
      </c>
      <c r="B16" s="654">
        <v>1078</v>
      </c>
      <c r="C16" s="650">
        <v>1052</v>
      </c>
      <c r="D16" s="652">
        <v>1056</v>
      </c>
      <c r="E16" s="652">
        <v>1065</v>
      </c>
      <c r="F16" s="652">
        <v>1071</v>
      </c>
      <c r="G16" s="740">
        <v>1047.0060000000001</v>
      </c>
      <c r="H16" s="640" t="s">
        <v>51</v>
      </c>
      <c r="I16" s="355">
        <v>1052</v>
      </c>
      <c r="J16" s="741">
        <v>1064.883</v>
      </c>
      <c r="K16" s="740">
        <v>1047.0060000000001</v>
      </c>
    </row>
    <row r="17" spans="1:11" s="658" customFormat="1" ht="18.75" thickBot="1">
      <c r="A17" s="648" t="s">
        <v>170</v>
      </c>
      <c r="B17" s="655">
        <v>10519</v>
      </c>
      <c r="C17" s="656">
        <v>10468</v>
      </c>
      <c r="D17" s="795">
        <v>10548</v>
      </c>
      <c r="E17" s="796">
        <v>10706</v>
      </c>
      <c r="F17" s="796">
        <v>10717</v>
      </c>
      <c r="G17" s="797">
        <v>10722.128999999999</v>
      </c>
      <c r="H17" s="640" t="s">
        <v>51</v>
      </c>
      <c r="I17" s="657">
        <v>10468</v>
      </c>
      <c r="J17" s="742">
        <v>10706.073999999999</v>
      </c>
      <c r="K17" s="742">
        <v>10722.128999999999</v>
      </c>
    </row>
    <row r="18" spans="1:11" s="658" customFormat="1" ht="18">
      <c r="A18" s="648" t="s">
        <v>51</v>
      </c>
      <c r="B18" s="643" t="s">
        <v>51</v>
      </c>
      <c r="C18" s="643" t="s">
        <v>51</v>
      </c>
      <c r="D18" s="646" t="s">
        <v>51</v>
      </c>
      <c r="E18" s="646" t="s">
        <v>51</v>
      </c>
      <c r="F18" s="646"/>
      <c r="G18" s="646"/>
      <c r="H18" s="640" t="s">
        <v>51</v>
      </c>
      <c r="I18" s="310" t="s">
        <v>51</v>
      </c>
      <c r="J18" s="741"/>
      <c r="K18" s="740"/>
    </row>
    <row r="19" spans="1:11" s="658" customFormat="1" ht="19.5" customHeight="1">
      <c r="A19" s="648" t="s">
        <v>248</v>
      </c>
      <c r="B19" s="643" t="s">
        <v>51</v>
      </c>
      <c r="C19" s="643" t="s">
        <v>51</v>
      </c>
      <c r="D19" s="646" t="s">
        <v>51</v>
      </c>
      <c r="E19" s="646" t="s">
        <v>51</v>
      </c>
      <c r="F19" s="646"/>
      <c r="G19" s="646"/>
      <c r="H19" s="640" t="s">
        <v>51</v>
      </c>
      <c r="I19" s="310" t="s">
        <v>51</v>
      </c>
      <c r="J19" s="741"/>
      <c r="K19" s="740"/>
    </row>
    <row r="20" spans="1:11" s="658" customFormat="1" ht="21">
      <c r="A20" s="649" t="s">
        <v>205</v>
      </c>
      <c r="B20" s="366">
        <v>19</v>
      </c>
      <c r="C20" s="366">
        <v>19</v>
      </c>
      <c r="D20" s="636">
        <v>19</v>
      </c>
      <c r="E20" s="636">
        <v>19</v>
      </c>
      <c r="F20" s="636">
        <v>20</v>
      </c>
      <c r="G20" s="740">
        <v>20.003958822371633</v>
      </c>
      <c r="H20" s="640" t="s">
        <v>51</v>
      </c>
      <c r="I20" s="659">
        <v>19</v>
      </c>
      <c r="J20" s="741">
        <v>19.116419607624884</v>
      </c>
      <c r="K20" s="740">
        <v>19.712145148357795</v>
      </c>
    </row>
    <row r="21" spans="1:11" s="658" customFormat="1" ht="18">
      <c r="A21" s="649" t="s">
        <v>207</v>
      </c>
      <c r="B21" s="782">
        <v>42</v>
      </c>
      <c r="C21" s="782">
        <v>42</v>
      </c>
      <c r="D21" s="783">
        <v>43</v>
      </c>
      <c r="E21" s="783">
        <v>44</v>
      </c>
      <c r="F21" s="784" t="s">
        <v>293</v>
      </c>
      <c r="G21" s="740" t="s">
        <v>293</v>
      </c>
      <c r="H21" s="785" t="s">
        <v>51</v>
      </c>
      <c r="I21" s="786">
        <v>42</v>
      </c>
      <c r="J21" s="741">
        <v>44</v>
      </c>
      <c r="K21" s="740" t="s">
        <v>293</v>
      </c>
    </row>
    <row r="22" spans="1:11" s="665" customFormat="1" ht="21">
      <c r="A22" s="649" t="s">
        <v>249</v>
      </c>
      <c r="B22" s="661" t="s">
        <v>51</v>
      </c>
      <c r="C22" s="661">
        <v>46</v>
      </c>
      <c r="D22" s="662">
        <v>48</v>
      </c>
      <c r="E22" s="663">
        <v>48</v>
      </c>
      <c r="F22" s="663">
        <v>49</v>
      </c>
      <c r="G22" s="741">
        <v>49.720746172999661</v>
      </c>
      <c r="H22" s="664" t="s">
        <v>51</v>
      </c>
      <c r="I22" s="330">
        <v>46</v>
      </c>
      <c r="J22" s="741">
        <v>47.648787552378622</v>
      </c>
      <c r="K22" s="740">
        <v>49.479960199475279</v>
      </c>
    </row>
    <row r="23" spans="1:11" s="626" customFormat="1" ht="21">
      <c r="A23" s="649" t="s">
        <v>206</v>
      </c>
      <c r="B23" s="666">
        <v>13</v>
      </c>
      <c r="C23" s="666">
        <v>13</v>
      </c>
      <c r="D23" s="667">
        <v>13</v>
      </c>
      <c r="E23" s="667">
        <v>13</v>
      </c>
      <c r="F23" s="667">
        <v>13</v>
      </c>
      <c r="G23" s="743">
        <v>12.743759117320593</v>
      </c>
      <c r="H23" s="640" t="s">
        <v>51</v>
      </c>
      <c r="I23" s="668">
        <v>13</v>
      </c>
      <c r="J23" s="741">
        <v>12.956472223462939</v>
      </c>
      <c r="K23" s="740">
        <v>12.81266762047311</v>
      </c>
    </row>
    <row r="24" spans="1:11" s="625" customFormat="1" ht="18.75" thickBot="1">
      <c r="A24" s="632" t="s">
        <v>208</v>
      </c>
      <c r="B24" s="669">
        <v>31</v>
      </c>
      <c r="C24" s="669">
        <v>32</v>
      </c>
      <c r="D24" s="798">
        <v>32</v>
      </c>
      <c r="E24" s="799">
        <v>33</v>
      </c>
      <c r="F24" s="799">
        <v>33</v>
      </c>
      <c r="G24" s="797">
        <v>33.373727100632237</v>
      </c>
      <c r="H24" s="670" t="s">
        <v>51</v>
      </c>
      <c r="I24" s="671">
        <v>32</v>
      </c>
      <c r="J24" s="742">
        <v>32.311338217818957</v>
      </c>
      <c r="K24" s="742">
        <v>33.221752783002849</v>
      </c>
    </row>
    <row r="25" spans="1:11" s="626" customFormat="1" ht="20.25" customHeight="1">
      <c r="A25" s="632" t="s">
        <v>51</v>
      </c>
      <c r="B25" s="644" t="s">
        <v>51</v>
      </c>
      <c r="C25" s="644" t="s">
        <v>51</v>
      </c>
      <c r="D25" s="644" t="s">
        <v>51</v>
      </c>
      <c r="E25" s="644" t="s">
        <v>51</v>
      </c>
      <c r="F25" s="644"/>
      <c r="G25" s="744"/>
      <c r="H25" s="670" t="s">
        <v>51</v>
      </c>
      <c r="I25" s="310" t="s">
        <v>51</v>
      </c>
      <c r="J25" s="741"/>
      <c r="K25" s="740"/>
    </row>
    <row r="26" spans="1:11" s="672" customFormat="1" ht="21">
      <c r="A26" s="632" t="s">
        <v>209</v>
      </c>
      <c r="B26" s="644">
        <v>17</v>
      </c>
      <c r="C26" s="644">
        <v>17</v>
      </c>
      <c r="D26" s="646">
        <v>19</v>
      </c>
      <c r="E26" s="646">
        <v>20</v>
      </c>
      <c r="F26" s="646">
        <v>22</v>
      </c>
      <c r="G26" s="745">
        <v>22.912768561372804</v>
      </c>
      <c r="H26" s="670" t="s">
        <v>51</v>
      </c>
      <c r="I26" s="310">
        <v>17</v>
      </c>
      <c r="J26" s="746">
        <v>19.44393934879918</v>
      </c>
      <c r="K26" s="745">
        <v>22.26410487462643</v>
      </c>
    </row>
    <row r="27" spans="1:11" s="626" customFormat="1" ht="18">
      <c r="A27" s="632" t="s">
        <v>51</v>
      </c>
      <c r="B27" s="644" t="s">
        <v>51</v>
      </c>
      <c r="C27" s="644" t="s">
        <v>51</v>
      </c>
      <c r="D27" s="644" t="s">
        <v>51</v>
      </c>
      <c r="E27" s="644" t="s">
        <v>51</v>
      </c>
      <c r="F27" s="644"/>
      <c r="G27" s="744"/>
      <c r="H27" s="670" t="s">
        <v>51</v>
      </c>
      <c r="I27" s="310" t="s">
        <v>51</v>
      </c>
      <c r="J27" s="747"/>
      <c r="K27" s="744"/>
    </row>
    <row r="28" spans="1:11" s="626" customFormat="1" ht="21">
      <c r="A28" s="632" t="s">
        <v>210</v>
      </c>
      <c r="B28" s="644">
        <v>31.2</v>
      </c>
      <c r="C28" s="644">
        <v>30.9</v>
      </c>
      <c r="D28" s="771">
        <v>0.307</v>
      </c>
      <c r="E28" s="770">
        <v>0.31</v>
      </c>
      <c r="F28" s="771">
        <v>0.311</v>
      </c>
      <c r="G28" s="748">
        <v>0.311</v>
      </c>
      <c r="H28" s="670" t="s">
        <v>51</v>
      </c>
      <c r="I28" s="310">
        <v>30.9</v>
      </c>
      <c r="J28" s="749">
        <v>0.31</v>
      </c>
      <c r="K28" s="748">
        <v>0.311</v>
      </c>
    </row>
    <row r="29" spans="1:11" s="626" customFormat="1" ht="23.25" customHeight="1">
      <c r="A29" s="632" t="s">
        <v>51</v>
      </c>
      <c r="B29" s="644" t="s">
        <v>51</v>
      </c>
      <c r="C29" s="644" t="s">
        <v>51</v>
      </c>
      <c r="D29" s="644" t="s">
        <v>51</v>
      </c>
      <c r="E29" s="644" t="s">
        <v>51</v>
      </c>
      <c r="F29" s="644"/>
      <c r="G29" s="744"/>
      <c r="H29" s="670" t="s">
        <v>51</v>
      </c>
      <c r="I29" s="310" t="s">
        <v>51</v>
      </c>
      <c r="J29" s="747"/>
      <c r="K29" s="744"/>
    </row>
    <row r="30" spans="1:11" s="626" customFormat="1" ht="21">
      <c r="A30" s="632" t="s">
        <v>211</v>
      </c>
      <c r="B30" s="673">
        <v>1.2999999999999999E-2</v>
      </c>
      <c r="C30" s="673">
        <v>1.4E-2</v>
      </c>
      <c r="D30" s="772">
        <v>1.2999999999999999E-2</v>
      </c>
      <c r="E30" s="772">
        <v>1.2E-2</v>
      </c>
      <c r="F30" s="772">
        <v>1.2E-2</v>
      </c>
      <c r="G30" s="750">
        <v>1.1534544474888666E-2</v>
      </c>
      <c r="H30" s="670" t="s">
        <v>51</v>
      </c>
      <c r="I30" s="674">
        <v>1.4E-2</v>
      </c>
      <c r="J30" s="751">
        <v>1.2303042324529371E-2</v>
      </c>
      <c r="K30" s="750">
        <v>1.1862202268342163E-2</v>
      </c>
    </row>
    <row r="31" spans="1:11" s="626" customFormat="1" ht="18">
      <c r="A31" s="632" t="s">
        <v>51</v>
      </c>
      <c r="B31" s="675" t="s">
        <v>51</v>
      </c>
      <c r="C31" s="675" t="s">
        <v>51</v>
      </c>
      <c r="D31" s="636" t="s">
        <v>51</v>
      </c>
      <c r="E31" s="636" t="s">
        <v>51</v>
      </c>
      <c r="F31" s="636"/>
      <c r="G31" s="752"/>
      <c r="H31" s="670" t="s">
        <v>51</v>
      </c>
      <c r="I31" s="659" t="s">
        <v>51</v>
      </c>
      <c r="J31" s="741"/>
      <c r="K31" s="740"/>
    </row>
    <row r="32" spans="1:11" s="626" customFormat="1" ht="18">
      <c r="A32" s="632" t="s">
        <v>212</v>
      </c>
      <c r="B32" s="676">
        <v>72</v>
      </c>
      <c r="C32" s="675">
        <v>74</v>
      </c>
      <c r="D32" s="677">
        <v>75.400000000000006</v>
      </c>
      <c r="E32" s="636">
        <v>76</v>
      </c>
      <c r="F32" s="636">
        <v>77</v>
      </c>
      <c r="G32" s="753">
        <v>78.233538409281351</v>
      </c>
      <c r="H32" s="670" t="s">
        <v>51</v>
      </c>
      <c r="I32" s="678">
        <v>73.5</v>
      </c>
      <c r="J32" s="754">
        <v>75.8031530187573</v>
      </c>
      <c r="K32" s="755">
        <v>77.954696004183262</v>
      </c>
    </row>
    <row r="33" spans="1:11" s="626" customFormat="1" ht="18">
      <c r="A33" s="632" t="s">
        <v>51</v>
      </c>
      <c r="B33" s="675" t="s">
        <v>51</v>
      </c>
      <c r="C33" s="675" t="s">
        <v>51</v>
      </c>
      <c r="D33" s="636" t="s">
        <v>51</v>
      </c>
      <c r="E33" s="636" t="s">
        <v>51</v>
      </c>
      <c r="F33" s="636"/>
      <c r="G33" s="752"/>
      <c r="H33" s="640" t="s">
        <v>51</v>
      </c>
      <c r="I33" s="659" t="s">
        <v>51</v>
      </c>
      <c r="J33" s="741"/>
      <c r="K33" s="740"/>
    </row>
    <row r="34" spans="1:11" s="626" customFormat="1" ht="21">
      <c r="A34" s="648" t="s">
        <v>213</v>
      </c>
      <c r="B34" s="366" t="s">
        <v>51</v>
      </c>
      <c r="C34" s="366" t="s">
        <v>51</v>
      </c>
      <c r="D34" s="636" t="s">
        <v>51</v>
      </c>
      <c r="E34" s="636" t="s">
        <v>51</v>
      </c>
      <c r="F34" s="636"/>
      <c r="G34" s="752"/>
      <c r="H34" s="640" t="s">
        <v>51</v>
      </c>
      <c r="I34" s="659" t="s">
        <v>51</v>
      </c>
      <c r="J34" s="741"/>
      <c r="K34" s="740"/>
    </row>
    <row r="35" spans="1:11" s="626" customFormat="1" ht="18">
      <c r="A35" s="660" t="s">
        <v>214</v>
      </c>
      <c r="B35" s="650">
        <v>1112</v>
      </c>
      <c r="C35" s="650">
        <v>1093</v>
      </c>
      <c r="D35" s="679">
        <v>1080</v>
      </c>
      <c r="E35" s="679">
        <v>1075</v>
      </c>
      <c r="F35" s="679">
        <v>1072</v>
      </c>
      <c r="G35" s="756">
        <v>1069.309</v>
      </c>
      <c r="H35" s="640" t="s">
        <v>51</v>
      </c>
      <c r="I35" s="338">
        <v>1093</v>
      </c>
      <c r="J35" s="741">
        <v>1074.7280000000001</v>
      </c>
      <c r="K35" s="740">
        <v>1069.309</v>
      </c>
    </row>
    <row r="36" spans="1:11" ht="18">
      <c r="A36" s="660" t="s">
        <v>215</v>
      </c>
      <c r="B36" s="366">
        <v>212</v>
      </c>
      <c r="C36" s="366">
        <v>217</v>
      </c>
      <c r="D36" s="675">
        <v>225</v>
      </c>
      <c r="E36" s="675">
        <v>236</v>
      </c>
      <c r="F36" s="675">
        <v>241</v>
      </c>
      <c r="G36" s="756">
        <v>235.62</v>
      </c>
      <c r="H36" s="640" t="s">
        <v>51</v>
      </c>
      <c r="I36" s="659">
        <v>217</v>
      </c>
      <c r="J36" s="741">
        <v>235.755</v>
      </c>
      <c r="K36" s="740">
        <v>235.62</v>
      </c>
    </row>
    <row r="37" spans="1:11" ht="18.75" thickBot="1">
      <c r="A37" s="680" t="s">
        <v>170</v>
      </c>
      <c r="B37" s="656">
        <v>1324</v>
      </c>
      <c r="C37" s="656">
        <v>1310</v>
      </c>
      <c r="D37" s="800">
        <v>1305</v>
      </c>
      <c r="E37" s="801">
        <v>1310</v>
      </c>
      <c r="F37" s="801">
        <v>1313</v>
      </c>
      <c r="G37" s="802">
        <v>1304.9290000000001</v>
      </c>
      <c r="H37" s="670" t="s">
        <v>51</v>
      </c>
      <c r="I37" s="681">
        <v>1310</v>
      </c>
      <c r="J37" s="742">
        <v>1310.4830000000002</v>
      </c>
      <c r="K37" s="742">
        <v>1304.9290000000001</v>
      </c>
    </row>
    <row r="38" spans="1:11" ht="18">
      <c r="A38" s="682" t="s">
        <v>51</v>
      </c>
      <c r="B38" s="683" t="s">
        <v>51</v>
      </c>
      <c r="C38" s="683" t="s">
        <v>51</v>
      </c>
      <c r="D38" s="683" t="s">
        <v>51</v>
      </c>
      <c r="E38" s="683" t="s">
        <v>51</v>
      </c>
      <c r="F38" s="683" t="s">
        <v>51</v>
      </c>
      <c r="G38" s="683" t="s">
        <v>51</v>
      </c>
      <c r="H38" s="370" t="s">
        <v>51</v>
      </c>
      <c r="I38" s="619"/>
      <c r="J38" s="619"/>
      <c r="K38" s="619"/>
    </row>
    <row r="39" spans="1:11" ht="20.25" customHeight="1">
      <c r="A39" s="611" t="s">
        <v>216</v>
      </c>
      <c r="B39" s="684"/>
      <c r="C39" s="684"/>
      <c r="D39" s="684"/>
      <c r="E39" s="684"/>
    </row>
    <row r="40" spans="1:11" ht="20.25" customHeight="1">
      <c r="A40" s="611" t="s">
        <v>217</v>
      </c>
    </row>
    <row r="41" spans="1:11" ht="20.25" customHeight="1">
      <c r="A41" s="611" t="s">
        <v>218</v>
      </c>
    </row>
    <row r="42" spans="1:11" ht="20.25" customHeight="1">
      <c r="A42" s="611" t="s">
        <v>219</v>
      </c>
    </row>
    <row r="43" spans="1:11" ht="20.25" customHeight="1">
      <c r="A43" s="611" t="s">
        <v>220</v>
      </c>
    </row>
    <row r="44" spans="1:11" ht="20.25" customHeight="1">
      <c r="A44" s="611" t="s">
        <v>221</v>
      </c>
    </row>
    <row r="45" spans="1:11" ht="20.25" customHeight="1">
      <c r="A45" s="611" t="s">
        <v>222</v>
      </c>
    </row>
    <row r="46" spans="1:11" ht="20.25" customHeight="1">
      <c r="A46" s="611" t="s">
        <v>223</v>
      </c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0259-ED3C-405F-9300-BCED4C631F32}">
  <sheetPr>
    <pageSetUpPr fitToPage="1"/>
  </sheetPr>
  <dimension ref="A1:V32"/>
  <sheetViews>
    <sheetView showGridLines="0" view="pageBreakPreview" zoomScale="85" zoomScaleNormal="90" zoomScaleSheetLayoutView="85" workbookViewId="0">
      <selection activeCell="B1" sqref="B1"/>
    </sheetView>
  </sheetViews>
  <sheetFormatPr defaultColWidth="9.28515625" defaultRowHeight="13.5" customHeight="1"/>
  <cols>
    <col min="1" max="1" width="1.7109375" style="137" customWidth="1"/>
    <col min="2" max="2" width="48.28515625" style="137" customWidth="1"/>
    <col min="3" max="4" width="20.7109375" style="137" hidden="1" customWidth="1"/>
    <col min="5" max="6" width="20.5703125" style="137" hidden="1" customWidth="1"/>
    <col min="7" max="10" width="20.5703125" style="137" customWidth="1"/>
    <col min="11" max="11" width="3.140625" style="137" customWidth="1"/>
    <col min="12" max="13" width="17.7109375" style="137" hidden="1" customWidth="1"/>
    <col min="14" max="15" width="17.7109375" style="137" customWidth="1"/>
    <col min="16" max="16" width="9.28515625" style="137"/>
    <col min="17" max="17" width="12.7109375" style="137" bestFit="1" customWidth="1"/>
    <col min="18" max="16384" width="9.28515625" style="137"/>
  </cols>
  <sheetData>
    <row r="1" spans="1:22" ht="21" customHeight="1">
      <c r="A1" s="140" t="s">
        <v>0</v>
      </c>
      <c r="B1" s="773"/>
    </row>
    <row r="2" spans="1:22" ht="8.25" customHeight="1">
      <c r="A2" s="163"/>
      <c r="B2" s="163"/>
    </row>
    <row r="3" spans="1:22" s="239" customFormat="1" ht="18">
      <c r="A3" s="237" t="s">
        <v>224</v>
      </c>
      <c r="B3" s="238"/>
    </row>
    <row r="4" spans="1:22" s="141" customFormat="1" ht="11.25" customHeight="1">
      <c r="A4" s="300"/>
      <c r="B4" s="139"/>
      <c r="P4" s="239"/>
      <c r="Q4" s="239"/>
    </row>
    <row r="5" spans="1:22" ht="18" customHeight="1">
      <c r="A5" s="144"/>
      <c r="B5" s="146"/>
      <c r="C5" s="805" t="s">
        <v>8</v>
      </c>
      <c r="D5" s="806"/>
      <c r="E5" s="807" t="s">
        <v>2</v>
      </c>
      <c r="F5" s="808"/>
      <c r="G5" s="807" t="s">
        <v>3</v>
      </c>
      <c r="H5" s="809"/>
      <c r="I5" s="807" t="s">
        <v>4</v>
      </c>
      <c r="J5" s="808"/>
      <c r="K5" s="147"/>
      <c r="L5" s="148"/>
      <c r="M5" s="148"/>
      <c r="N5" s="148"/>
      <c r="O5" s="148"/>
      <c r="P5" s="239"/>
      <c r="Q5" s="239"/>
    </row>
    <row r="6" spans="1:22" ht="21" hidden="1" customHeight="1">
      <c r="A6" s="149" t="s">
        <v>5</v>
      </c>
      <c r="B6" s="241"/>
      <c r="C6" s="243"/>
      <c r="D6" s="243"/>
      <c r="E6" s="243"/>
      <c r="F6" s="243"/>
      <c r="G6" s="159" t="s">
        <v>6</v>
      </c>
      <c r="H6" s="154"/>
      <c r="I6" s="154"/>
      <c r="J6" s="154"/>
      <c r="K6" s="147"/>
      <c r="L6" s="441"/>
      <c r="M6" s="441"/>
      <c r="N6" s="441"/>
      <c r="O6" s="441"/>
      <c r="P6" s="239"/>
      <c r="Q6" s="239"/>
    </row>
    <row r="7" spans="1:22" ht="18">
      <c r="A7" s="156" t="s">
        <v>5</v>
      </c>
      <c r="B7" s="158"/>
      <c r="C7" s="236" t="s">
        <v>6</v>
      </c>
      <c r="D7" s="236" t="s">
        <v>7</v>
      </c>
      <c r="E7" s="236" t="s">
        <v>6</v>
      </c>
      <c r="F7" s="236" t="s">
        <v>7</v>
      </c>
      <c r="G7" s="236" t="s">
        <v>6</v>
      </c>
      <c r="H7" s="236" t="s">
        <v>7</v>
      </c>
      <c r="I7" s="236" t="s">
        <v>6</v>
      </c>
      <c r="J7" s="236" t="s">
        <v>7</v>
      </c>
      <c r="K7" s="147"/>
      <c r="L7" s="161" t="s">
        <v>8</v>
      </c>
      <c r="M7" s="161" t="s">
        <v>2</v>
      </c>
      <c r="N7" s="161" t="s">
        <v>3</v>
      </c>
      <c r="O7" s="161" t="s">
        <v>4</v>
      </c>
      <c r="P7" s="239"/>
      <c r="Q7" s="239"/>
    </row>
    <row r="8" spans="1:22" ht="18">
      <c r="A8" s="162" t="s">
        <v>225</v>
      </c>
      <c r="B8" s="139"/>
      <c r="C8" s="251"/>
      <c r="D8" s="251"/>
      <c r="E8" s="251"/>
      <c r="F8" s="251"/>
      <c r="G8" s="251"/>
      <c r="H8" s="251"/>
      <c r="I8" s="251"/>
      <c r="J8" s="251"/>
      <c r="K8" s="139"/>
      <c r="L8" s="251"/>
      <c r="M8" s="251"/>
      <c r="N8" s="251"/>
      <c r="O8" s="251"/>
    </row>
    <row r="9" spans="1:22" ht="18">
      <c r="A9" s="162"/>
      <c r="B9" s="139" t="s">
        <v>226</v>
      </c>
      <c r="C9" s="685">
        <v>5340</v>
      </c>
      <c r="D9" s="685">
        <v>5428</v>
      </c>
      <c r="E9" s="685">
        <v>5409</v>
      </c>
      <c r="F9" s="685">
        <v>5733</v>
      </c>
      <c r="G9" s="685">
        <f>5575+70</f>
        <v>5645</v>
      </c>
      <c r="H9" s="685">
        <v>5418</v>
      </c>
      <c r="I9" s="685">
        <v>5233</v>
      </c>
      <c r="J9" s="685">
        <v>5454</v>
      </c>
      <c r="K9" s="686"/>
      <c r="L9" s="685">
        <v>5428</v>
      </c>
      <c r="M9" s="685">
        <v>5733</v>
      </c>
      <c r="N9" s="685">
        <v>5418</v>
      </c>
      <c r="O9" s="685">
        <f>J9</f>
        <v>5454</v>
      </c>
      <c r="P9" s="141"/>
      <c r="Q9" s="687"/>
      <c r="R9" s="687"/>
      <c r="S9" s="687"/>
      <c r="T9" s="687"/>
      <c r="U9" s="687"/>
      <c r="V9" s="687"/>
    </row>
    <row r="10" spans="1:22" ht="21">
      <c r="A10" s="162"/>
      <c r="B10" s="139" t="s">
        <v>227</v>
      </c>
      <c r="C10" s="685">
        <v>3524</v>
      </c>
      <c r="D10" s="685">
        <v>3154</v>
      </c>
      <c r="E10" s="685">
        <v>2597</v>
      </c>
      <c r="F10" s="685">
        <v>4627</v>
      </c>
      <c r="G10" s="685">
        <f>2679-71</f>
        <v>2608</v>
      </c>
      <c r="H10" s="685">
        <v>2773</v>
      </c>
      <c r="I10" s="685">
        <v>3364.8</v>
      </c>
      <c r="J10" s="685">
        <v>3470</v>
      </c>
      <c r="K10" s="686"/>
      <c r="L10" s="685">
        <v>3154</v>
      </c>
      <c r="M10" s="685">
        <v>4627</v>
      </c>
      <c r="N10" s="685">
        <v>2773</v>
      </c>
      <c r="O10" s="685">
        <f t="shared" ref="O10:O27" si="0">J10</f>
        <v>3470</v>
      </c>
      <c r="P10" s="141"/>
      <c r="Q10" s="687"/>
      <c r="R10" s="687"/>
      <c r="S10" s="687"/>
      <c r="T10" s="687"/>
      <c r="U10" s="687"/>
      <c r="V10" s="687"/>
    </row>
    <row r="11" spans="1:22" ht="18">
      <c r="A11" s="162"/>
      <c r="B11" s="139" t="s">
        <v>228</v>
      </c>
      <c r="C11" s="685">
        <v>38530</v>
      </c>
      <c r="D11" s="685">
        <v>37947</v>
      </c>
      <c r="E11" s="685">
        <v>39092</v>
      </c>
      <c r="F11" s="685">
        <v>35838</v>
      </c>
      <c r="G11" s="685">
        <v>36908</v>
      </c>
      <c r="H11" s="685">
        <v>38592</v>
      </c>
      <c r="I11" s="685">
        <v>39178</v>
      </c>
      <c r="J11" s="685">
        <v>41773</v>
      </c>
      <c r="K11" s="686"/>
      <c r="L11" s="685">
        <v>37947</v>
      </c>
      <c r="M11" s="685">
        <v>35838</v>
      </c>
      <c r="N11" s="685">
        <v>38592</v>
      </c>
      <c r="O11" s="685">
        <f t="shared" si="0"/>
        <v>41773</v>
      </c>
      <c r="P11" s="141"/>
      <c r="Q11" s="687"/>
      <c r="R11" s="687"/>
      <c r="S11" s="687"/>
      <c r="T11" s="687"/>
      <c r="U11" s="687"/>
      <c r="V11" s="687"/>
    </row>
    <row r="12" spans="1:22" s="143" customFormat="1" ht="18">
      <c r="A12" s="162"/>
      <c r="B12" s="300" t="s">
        <v>229</v>
      </c>
      <c r="C12" s="688">
        <v>47394</v>
      </c>
      <c r="D12" s="688">
        <v>46530</v>
      </c>
      <c r="E12" s="688">
        <v>47099</v>
      </c>
      <c r="F12" s="688">
        <v>46199</v>
      </c>
      <c r="G12" s="710">
        <v>45161</v>
      </c>
      <c r="H12" s="710">
        <v>46783</v>
      </c>
      <c r="I12" s="710">
        <v>47776</v>
      </c>
      <c r="J12" s="710">
        <v>50697</v>
      </c>
      <c r="K12" s="465"/>
      <c r="L12" s="688">
        <v>46530</v>
      </c>
      <c r="M12" s="688">
        <v>46199</v>
      </c>
      <c r="N12" s="710">
        <v>46783</v>
      </c>
      <c r="O12" s="710">
        <f t="shared" si="0"/>
        <v>50697</v>
      </c>
      <c r="P12" s="141"/>
      <c r="Q12" s="687"/>
      <c r="R12" s="687"/>
      <c r="S12" s="687"/>
      <c r="T12" s="687"/>
      <c r="U12" s="687"/>
      <c r="V12" s="687"/>
    </row>
    <row r="13" spans="1:22" s="143" customFormat="1" ht="18">
      <c r="A13" s="162"/>
      <c r="B13" s="139"/>
      <c r="C13" s="685"/>
      <c r="D13" s="685"/>
      <c r="E13" s="685"/>
      <c r="F13" s="685"/>
      <c r="G13" s="496"/>
      <c r="H13" s="496"/>
      <c r="I13" s="496"/>
      <c r="J13" s="496"/>
      <c r="K13" s="686"/>
      <c r="L13" s="685"/>
      <c r="M13" s="685"/>
      <c r="N13" s="496"/>
      <c r="O13" s="496">
        <f t="shared" si="0"/>
        <v>0</v>
      </c>
      <c r="P13" s="141"/>
      <c r="Q13" s="687"/>
      <c r="R13" s="687"/>
      <c r="S13" s="687"/>
      <c r="T13" s="687"/>
      <c r="U13" s="687"/>
      <c r="V13" s="687"/>
    </row>
    <row r="14" spans="1:22" s="143" customFormat="1" ht="18">
      <c r="A14" s="162"/>
      <c r="B14" s="139" t="s">
        <v>230</v>
      </c>
      <c r="C14" s="685">
        <v>7993</v>
      </c>
      <c r="D14" s="685">
        <v>8299</v>
      </c>
      <c r="E14" s="685">
        <v>6938</v>
      </c>
      <c r="F14" s="685">
        <v>7649</v>
      </c>
      <c r="G14" s="496">
        <f>8690+314</f>
        <v>9004</v>
      </c>
      <c r="H14" s="496">
        <v>8379</v>
      </c>
      <c r="I14" s="496">
        <v>7189</v>
      </c>
      <c r="J14" s="496">
        <v>8581</v>
      </c>
      <c r="K14" s="686"/>
      <c r="L14" s="685">
        <v>8299</v>
      </c>
      <c r="M14" s="685">
        <v>7649</v>
      </c>
      <c r="N14" s="496">
        <v>8379</v>
      </c>
      <c r="O14" s="496">
        <f t="shared" si="0"/>
        <v>8581</v>
      </c>
      <c r="P14" s="141"/>
      <c r="Q14" s="687"/>
      <c r="R14" s="687"/>
      <c r="S14" s="687"/>
      <c r="T14" s="687"/>
      <c r="U14" s="687"/>
      <c r="V14" s="687"/>
    </row>
    <row r="15" spans="1:22" ht="19.899999999999999" customHeight="1">
      <c r="A15" s="162"/>
      <c r="B15" s="139" t="s">
        <v>231</v>
      </c>
      <c r="C15" s="685">
        <v>11892</v>
      </c>
      <c r="D15" s="685">
        <v>12217</v>
      </c>
      <c r="E15" s="685">
        <v>12950</v>
      </c>
      <c r="F15" s="685">
        <v>13584</v>
      </c>
      <c r="G15" s="496">
        <v>11563</v>
      </c>
      <c r="H15" s="496">
        <v>12448</v>
      </c>
      <c r="I15" s="496">
        <v>13343</v>
      </c>
      <c r="J15" s="496">
        <v>13399</v>
      </c>
      <c r="K15" s="686"/>
      <c r="L15" s="685">
        <v>12217</v>
      </c>
      <c r="M15" s="685">
        <v>13584</v>
      </c>
      <c r="N15" s="496">
        <v>12448</v>
      </c>
      <c r="O15" s="496">
        <f t="shared" si="0"/>
        <v>13399</v>
      </c>
      <c r="P15" s="141"/>
      <c r="Q15" s="687"/>
      <c r="R15" s="687"/>
      <c r="S15" s="687"/>
      <c r="T15" s="687"/>
      <c r="U15" s="687"/>
      <c r="V15" s="687"/>
    </row>
    <row r="16" spans="1:22" s="143" customFormat="1" ht="18">
      <c r="A16" s="162"/>
      <c r="B16" s="300" t="s">
        <v>232</v>
      </c>
      <c r="C16" s="688">
        <v>19885</v>
      </c>
      <c r="D16" s="688">
        <v>20516</v>
      </c>
      <c r="E16" s="688">
        <v>19888</v>
      </c>
      <c r="F16" s="688">
        <v>21234</v>
      </c>
      <c r="G16" s="710">
        <f>20253+314</f>
        <v>20567</v>
      </c>
      <c r="H16" s="710">
        <v>20827</v>
      </c>
      <c r="I16" s="710">
        <v>20531</v>
      </c>
      <c r="J16" s="710">
        <v>21980</v>
      </c>
      <c r="K16" s="465"/>
      <c r="L16" s="688">
        <v>20516</v>
      </c>
      <c r="M16" s="688">
        <v>21234</v>
      </c>
      <c r="N16" s="710">
        <v>20827</v>
      </c>
      <c r="O16" s="710">
        <f t="shared" si="0"/>
        <v>21980</v>
      </c>
      <c r="P16" s="141"/>
      <c r="Q16" s="687"/>
      <c r="R16" s="687"/>
      <c r="S16" s="687"/>
      <c r="T16" s="687"/>
      <c r="U16" s="687"/>
      <c r="V16" s="687"/>
    </row>
    <row r="17" spans="1:22" ht="18">
      <c r="A17" s="193"/>
      <c r="B17" s="139"/>
      <c r="C17" s="685"/>
      <c r="D17" s="685"/>
      <c r="E17" s="685"/>
      <c r="F17" s="685"/>
      <c r="G17" s="496"/>
      <c r="H17" s="496"/>
      <c r="I17" s="496"/>
      <c r="J17" s="496"/>
      <c r="K17" s="686"/>
      <c r="L17" s="685"/>
      <c r="M17" s="685"/>
      <c r="N17" s="496"/>
      <c r="O17" s="496"/>
      <c r="P17" s="141"/>
      <c r="Q17" s="687"/>
      <c r="R17" s="687"/>
      <c r="S17" s="687"/>
      <c r="T17" s="687"/>
      <c r="U17" s="687"/>
      <c r="V17" s="687"/>
    </row>
    <row r="18" spans="1:22" s="143" customFormat="1" ht="18">
      <c r="A18" s="162"/>
      <c r="B18" s="300" t="s">
        <v>233</v>
      </c>
      <c r="C18" s="689">
        <v>27509</v>
      </c>
      <c r="D18" s="689">
        <v>26014</v>
      </c>
      <c r="E18" s="689">
        <v>27211</v>
      </c>
      <c r="F18" s="689">
        <v>24965</v>
      </c>
      <c r="G18" s="711">
        <f>24908-314</f>
        <v>24594</v>
      </c>
      <c r="H18" s="711">
        <v>25956</v>
      </c>
      <c r="I18" s="711">
        <v>27244</v>
      </c>
      <c r="J18" s="711">
        <v>28717</v>
      </c>
      <c r="K18" s="465"/>
      <c r="L18" s="689">
        <v>26014</v>
      </c>
      <c r="M18" s="689">
        <v>24965</v>
      </c>
      <c r="N18" s="711">
        <v>25956</v>
      </c>
      <c r="O18" s="711">
        <f t="shared" si="0"/>
        <v>28717</v>
      </c>
      <c r="P18" s="141"/>
      <c r="Q18" s="687"/>
      <c r="R18" s="687"/>
      <c r="S18" s="687"/>
      <c r="T18" s="687"/>
      <c r="U18" s="687"/>
      <c r="V18" s="687"/>
    </row>
    <row r="19" spans="1:22" ht="18">
      <c r="A19" s="162"/>
      <c r="B19" s="139"/>
      <c r="C19" s="685"/>
      <c r="D19" s="685"/>
      <c r="E19" s="685"/>
      <c r="F19" s="685"/>
      <c r="G19" s="496"/>
      <c r="H19" s="496"/>
      <c r="I19" s="496"/>
      <c r="J19" s="496"/>
      <c r="K19" s="686"/>
      <c r="L19" s="685"/>
      <c r="M19" s="685"/>
      <c r="N19" s="496"/>
      <c r="O19" s="496"/>
      <c r="P19" s="141"/>
      <c r="Q19" s="687"/>
      <c r="R19" s="687"/>
      <c r="S19" s="687"/>
      <c r="T19" s="687"/>
      <c r="U19" s="687"/>
      <c r="V19" s="687"/>
    </row>
    <row r="20" spans="1:22" s="143" customFormat="1" ht="18">
      <c r="A20" s="162"/>
      <c r="B20" s="139" t="s">
        <v>234</v>
      </c>
      <c r="C20" s="685">
        <v>4573</v>
      </c>
      <c r="D20" s="685">
        <v>4573</v>
      </c>
      <c r="E20" s="685">
        <v>4573</v>
      </c>
      <c r="F20" s="685">
        <v>4573</v>
      </c>
      <c r="G20" s="496">
        <v>4573</v>
      </c>
      <c r="H20" s="496">
        <v>4573</v>
      </c>
      <c r="I20" s="496">
        <v>4573</v>
      </c>
      <c r="J20" s="496">
        <v>4567</v>
      </c>
      <c r="K20" s="686"/>
      <c r="L20" s="685">
        <v>4573</v>
      </c>
      <c r="M20" s="685">
        <v>4573</v>
      </c>
      <c r="N20" s="496">
        <v>4573</v>
      </c>
      <c r="O20" s="496">
        <f t="shared" si="0"/>
        <v>4567</v>
      </c>
      <c r="P20" s="220"/>
      <c r="Q20" s="687"/>
      <c r="R20" s="687"/>
      <c r="S20" s="687"/>
      <c r="T20" s="687"/>
      <c r="U20" s="687"/>
      <c r="V20" s="687"/>
    </row>
    <row r="21" spans="1:22" ht="18">
      <c r="A21" s="162"/>
      <c r="B21" s="139" t="s">
        <v>235</v>
      </c>
      <c r="C21" s="685">
        <v>25402</v>
      </c>
      <c r="D21" s="685">
        <v>24857</v>
      </c>
      <c r="E21" s="685">
        <v>26055</v>
      </c>
      <c r="F21" s="685">
        <v>23785</v>
      </c>
      <c r="G21" s="496">
        <f>23697-314</f>
        <v>23383</v>
      </c>
      <c r="H21" s="496">
        <v>24993</v>
      </c>
      <c r="I21" s="496">
        <v>26720</v>
      </c>
      <c r="J21" s="496">
        <v>27453</v>
      </c>
      <c r="K21" s="686"/>
      <c r="L21" s="685">
        <v>24857</v>
      </c>
      <c r="M21" s="685">
        <v>23785</v>
      </c>
      <c r="N21" s="496">
        <v>24993</v>
      </c>
      <c r="O21" s="496">
        <f t="shared" si="0"/>
        <v>27453</v>
      </c>
      <c r="P21" s="141"/>
      <c r="Q21" s="687"/>
      <c r="R21" s="687"/>
      <c r="S21" s="687"/>
      <c r="T21" s="687"/>
      <c r="U21" s="687"/>
      <c r="V21" s="687"/>
    </row>
    <row r="22" spans="1:22" s="143" customFormat="1" ht="18">
      <c r="A22" s="162"/>
      <c r="B22" s="139" t="s">
        <v>236</v>
      </c>
      <c r="C22" s="685">
        <v>-2948</v>
      </c>
      <c r="D22" s="685">
        <v>-3750</v>
      </c>
      <c r="E22" s="685">
        <v>-3975</v>
      </c>
      <c r="F22" s="685">
        <v>-4203</v>
      </c>
      <c r="G22" s="496">
        <v>-4294</v>
      </c>
      <c r="H22" s="496">
        <v>-4513</v>
      </c>
      <c r="I22" s="496">
        <v>-4881</v>
      </c>
      <c r="J22" s="496">
        <v>-4948</v>
      </c>
      <c r="K22" s="686"/>
      <c r="L22" s="685">
        <v>-3750</v>
      </c>
      <c r="M22" s="685">
        <v>-4203</v>
      </c>
      <c r="N22" s="496">
        <v>-4513</v>
      </c>
      <c r="O22" s="496">
        <f t="shared" si="0"/>
        <v>-4948</v>
      </c>
      <c r="P22" s="220"/>
      <c r="Q22" s="687"/>
      <c r="R22" s="687"/>
      <c r="S22" s="687"/>
      <c r="T22" s="687"/>
      <c r="U22" s="687"/>
      <c r="V22" s="687"/>
    </row>
    <row r="23" spans="1:22" ht="18">
      <c r="A23" s="162"/>
      <c r="B23" s="139" t="s">
        <v>237</v>
      </c>
      <c r="C23" s="690">
        <v>-535</v>
      </c>
      <c r="D23" s="690">
        <v>-688</v>
      </c>
      <c r="E23" s="690">
        <v>-473</v>
      </c>
      <c r="F23" s="690">
        <v>-241</v>
      </c>
      <c r="G23" s="712">
        <v>-133</v>
      </c>
      <c r="H23" s="712">
        <f>-174-1</f>
        <v>-175</v>
      </c>
      <c r="I23" s="712">
        <v>-331</v>
      </c>
      <c r="J23" s="712">
        <v>475</v>
      </c>
      <c r="K23" s="686"/>
      <c r="L23" s="690">
        <v>-688</v>
      </c>
      <c r="M23" s="690">
        <v>-241</v>
      </c>
      <c r="N23" s="712">
        <v>-175</v>
      </c>
      <c r="O23" s="712">
        <f t="shared" si="0"/>
        <v>475</v>
      </c>
      <c r="P23" s="141"/>
      <c r="Q23" s="687"/>
      <c r="R23" s="687"/>
      <c r="S23" s="687"/>
      <c r="T23" s="687"/>
      <c r="U23" s="687"/>
      <c r="V23" s="687"/>
    </row>
    <row r="24" spans="1:22" s="143" customFormat="1" ht="18">
      <c r="A24" s="162"/>
      <c r="B24" s="300" t="s">
        <v>238</v>
      </c>
      <c r="C24" s="479">
        <v>26492</v>
      </c>
      <c r="D24" s="479">
        <v>24992</v>
      </c>
      <c r="E24" s="479">
        <v>26180</v>
      </c>
      <c r="F24" s="479">
        <v>23915</v>
      </c>
      <c r="G24" s="445">
        <f>23843-314</f>
        <v>23529</v>
      </c>
      <c r="H24" s="445">
        <v>24879</v>
      </c>
      <c r="I24" s="445">
        <v>26081</v>
      </c>
      <c r="J24" s="445">
        <v>27547</v>
      </c>
      <c r="K24" s="465"/>
      <c r="L24" s="479">
        <v>24992</v>
      </c>
      <c r="M24" s="479">
        <v>23915</v>
      </c>
      <c r="N24" s="445">
        <v>24879</v>
      </c>
      <c r="O24" s="445">
        <f t="shared" si="0"/>
        <v>27547</v>
      </c>
      <c r="P24" s="220"/>
      <c r="Q24" s="687"/>
      <c r="R24" s="687"/>
      <c r="S24" s="687"/>
      <c r="T24" s="687"/>
      <c r="U24" s="687"/>
      <c r="V24" s="687"/>
    </row>
    <row r="25" spans="1:22" s="143" customFormat="1" ht="18">
      <c r="A25" s="162"/>
      <c r="B25" s="139" t="s">
        <v>239</v>
      </c>
      <c r="C25" s="685">
        <v>1013</v>
      </c>
      <c r="D25" s="685">
        <v>1013</v>
      </c>
      <c r="E25" s="685">
        <v>1013</v>
      </c>
      <c r="F25" s="685">
        <v>1013</v>
      </c>
      <c r="G25" s="496">
        <v>1013</v>
      </c>
      <c r="H25" s="496">
        <v>1013</v>
      </c>
      <c r="I25" s="496">
        <v>1013</v>
      </c>
      <c r="J25" s="496">
        <v>1013</v>
      </c>
      <c r="K25" s="686"/>
      <c r="L25" s="685">
        <v>1013</v>
      </c>
      <c r="M25" s="685">
        <v>1013</v>
      </c>
      <c r="N25" s="496">
        <v>1013</v>
      </c>
      <c r="O25" s="496">
        <f t="shared" si="0"/>
        <v>1013</v>
      </c>
      <c r="P25" s="220"/>
      <c r="Q25" s="687"/>
      <c r="R25" s="687"/>
      <c r="S25" s="687"/>
      <c r="T25" s="687"/>
      <c r="U25" s="687"/>
      <c r="V25" s="687"/>
    </row>
    <row r="26" spans="1:22" ht="18">
      <c r="A26" s="162"/>
      <c r="B26" s="139" t="s">
        <v>240</v>
      </c>
      <c r="C26" s="575">
        <v>4</v>
      </c>
      <c r="D26" s="575">
        <v>9</v>
      </c>
      <c r="E26" s="575">
        <v>18</v>
      </c>
      <c r="F26" s="575">
        <v>37</v>
      </c>
      <c r="G26" s="576">
        <v>53</v>
      </c>
      <c r="H26" s="576">
        <v>65</v>
      </c>
      <c r="I26" s="576">
        <v>151</v>
      </c>
      <c r="J26" s="576">
        <v>157</v>
      </c>
      <c r="K26" s="615"/>
      <c r="L26" s="575">
        <v>9</v>
      </c>
      <c r="M26" s="575">
        <v>37</v>
      </c>
      <c r="N26" s="576">
        <v>65</v>
      </c>
      <c r="O26" s="576">
        <f t="shared" si="0"/>
        <v>157</v>
      </c>
      <c r="P26" s="141"/>
      <c r="Q26" s="687"/>
      <c r="R26" s="687"/>
      <c r="S26" s="687"/>
      <c r="T26" s="687"/>
      <c r="U26" s="687"/>
      <c r="V26" s="687"/>
    </row>
    <row r="27" spans="1:22" s="143" customFormat="1" ht="18">
      <c r="A27" s="290"/>
      <c r="B27" s="691" t="s">
        <v>241</v>
      </c>
      <c r="C27" s="689">
        <v>27509</v>
      </c>
      <c r="D27" s="689">
        <v>26014</v>
      </c>
      <c r="E27" s="689">
        <v>27211</v>
      </c>
      <c r="F27" s="689">
        <v>24965</v>
      </c>
      <c r="G27" s="711">
        <f>24908-314</f>
        <v>24594</v>
      </c>
      <c r="H27" s="711">
        <v>25956</v>
      </c>
      <c r="I27" s="711">
        <v>27244</v>
      </c>
      <c r="J27" s="711">
        <v>28717</v>
      </c>
      <c r="K27" s="465"/>
      <c r="L27" s="689">
        <v>26014</v>
      </c>
      <c r="M27" s="689">
        <v>24965</v>
      </c>
      <c r="N27" s="711">
        <v>25956</v>
      </c>
      <c r="O27" s="711">
        <f t="shared" si="0"/>
        <v>28717</v>
      </c>
      <c r="P27" s="220"/>
      <c r="Q27" s="687"/>
      <c r="R27" s="687"/>
      <c r="S27" s="687"/>
      <c r="T27" s="687"/>
      <c r="U27" s="687" t="s">
        <v>242</v>
      </c>
      <c r="V27" s="687"/>
    </row>
    <row r="28" spans="1:22" ht="18">
      <c r="A28" s="692"/>
      <c r="B28" s="139"/>
      <c r="C28" s="693"/>
      <c r="D28" s="693"/>
      <c r="E28" s="693"/>
      <c r="F28" s="693"/>
      <c r="G28" s="693"/>
      <c r="H28" s="693"/>
      <c r="I28" s="693"/>
      <c r="J28" s="693"/>
      <c r="K28" s="693"/>
      <c r="L28" s="141"/>
      <c r="M28" s="141"/>
      <c r="N28" s="228"/>
      <c r="O28" s="228"/>
      <c r="P28" s="141"/>
    </row>
    <row r="29" spans="1:22" s="141" customFormat="1" ht="18">
      <c r="A29" s="502"/>
      <c r="B29" s="788" t="s">
        <v>295</v>
      </c>
      <c r="C29" s="694"/>
      <c r="D29" s="694"/>
      <c r="E29" s="694"/>
      <c r="F29" s="694"/>
      <c r="G29" s="694"/>
      <c r="H29" s="694"/>
      <c r="I29" s="694"/>
      <c r="J29" s="694"/>
      <c r="K29" s="139"/>
      <c r="L29" s="694"/>
      <c r="M29" s="694"/>
      <c r="N29" s="694"/>
      <c r="O29" s="694"/>
    </row>
    <row r="30" spans="1:22" s="141" customFormat="1" ht="18">
      <c r="A30" s="440"/>
      <c r="B30" s="139"/>
      <c r="C30" s="139"/>
      <c r="D30" s="139"/>
      <c r="E30" s="139"/>
      <c r="F30" s="139"/>
      <c r="G30" s="139"/>
      <c r="H30" s="139"/>
      <c r="I30" s="139"/>
      <c r="J30" s="139"/>
      <c r="K30" s="139"/>
    </row>
    <row r="31" spans="1:22" ht="18">
      <c r="A31" s="139"/>
      <c r="B31" s="139"/>
    </row>
    <row r="32" spans="1:22" ht="18">
      <c r="A32" s="139"/>
      <c r="B32" s="139"/>
    </row>
  </sheetData>
  <mergeCells count="4">
    <mergeCell ref="C5:D5"/>
    <mergeCell ref="E5:F5"/>
    <mergeCell ref="G5:H5"/>
    <mergeCell ref="I5:J5"/>
  </mergeCells>
  <pageMargins left="0.70866141732283505" right="0.70866141732283505" top="0.74803149606299202" bottom="0.74803149606299202" header="0.31496062992126" footer="0.31496062992126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A3E5-563C-4689-B4EC-321306F0C762}">
  <sheetPr>
    <pageSetUpPr fitToPage="1"/>
  </sheetPr>
  <dimension ref="A1:Z48"/>
  <sheetViews>
    <sheetView view="pageBreakPreview" zoomScale="85" zoomScaleNormal="68" zoomScaleSheetLayoutView="85" workbookViewId="0">
      <pane xSplit="2" ySplit="7" topLeftCell="G8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42578125" defaultRowHeight="16.5"/>
  <cols>
    <col min="1" max="1" width="1.5703125" style="137" customWidth="1"/>
    <col min="2" max="2" width="61.42578125" style="137" customWidth="1"/>
    <col min="3" max="6" width="17" style="137" hidden="1" customWidth="1"/>
    <col min="7" max="10" width="18.42578125" style="137" customWidth="1"/>
    <col min="11" max="11" width="3.42578125" style="137" customWidth="1"/>
    <col min="12" max="13" width="18.140625" style="137" hidden="1" customWidth="1"/>
    <col min="14" max="15" width="19.7109375" style="137" customWidth="1"/>
    <col min="16" max="17" width="9.42578125" style="137"/>
    <col min="18" max="18" width="11.5703125" style="137" customWidth="1"/>
    <col min="19" max="16384" width="9.42578125" style="137"/>
  </cols>
  <sheetData>
    <row r="1" spans="1:26" s="773" customFormat="1" ht="21" customHeight="1">
      <c r="A1" s="140" t="s">
        <v>0</v>
      </c>
    </row>
    <row r="2" spans="1:26" ht="8.25" customHeight="1">
      <c r="B2" s="163"/>
      <c r="C2" s="141"/>
      <c r="D2" s="141"/>
      <c r="E2" s="141"/>
      <c r="F2" s="141"/>
      <c r="G2" s="141"/>
      <c r="H2" s="141"/>
      <c r="I2" s="141"/>
      <c r="J2" s="141"/>
    </row>
    <row r="3" spans="1:26" s="239" customFormat="1" ht="18">
      <c r="A3" s="237" t="s">
        <v>46</v>
      </c>
      <c r="B3" s="238"/>
      <c r="C3" s="141"/>
      <c r="D3" s="141"/>
      <c r="E3" s="141"/>
      <c r="F3" s="141"/>
      <c r="G3" s="141"/>
      <c r="H3" s="141"/>
      <c r="I3" s="141"/>
      <c r="J3" s="141"/>
    </row>
    <row r="4" spans="1:26" s="141" customFormat="1" ht="11.25" customHeight="1">
      <c r="A4" s="220"/>
      <c r="B4" s="139"/>
      <c r="C4" s="137"/>
      <c r="D4" s="137"/>
      <c r="E4" s="137"/>
      <c r="F4" s="137"/>
      <c r="G4" s="137"/>
      <c r="H4" s="137"/>
      <c r="I4" s="137"/>
      <c r="J4" s="137"/>
    </row>
    <row r="5" spans="1:26" s="141" customFormat="1" ht="18">
      <c r="A5" s="144"/>
      <c r="B5" s="146"/>
      <c r="C5" s="805" t="s">
        <v>47</v>
      </c>
      <c r="D5" s="806"/>
      <c r="E5" s="807" t="s">
        <v>2</v>
      </c>
      <c r="F5" s="808"/>
      <c r="G5" s="807" t="s">
        <v>3</v>
      </c>
      <c r="H5" s="809"/>
      <c r="I5" s="807" t="s">
        <v>4</v>
      </c>
      <c r="J5" s="808"/>
      <c r="L5" s="240"/>
      <c r="M5" s="240"/>
      <c r="N5" s="148"/>
      <c r="O5" s="148"/>
    </row>
    <row r="6" spans="1:26" s="141" customFormat="1" ht="21" hidden="1" customHeight="1">
      <c r="A6" s="149" t="s">
        <v>5</v>
      </c>
      <c r="B6" s="241"/>
      <c r="C6" s="242"/>
      <c r="D6" s="243"/>
      <c r="E6" s="152"/>
      <c r="F6" s="154"/>
      <c r="G6" s="152"/>
      <c r="H6" s="154"/>
      <c r="I6" s="152"/>
      <c r="J6" s="152"/>
      <c r="L6" s="244"/>
      <c r="M6" s="244"/>
      <c r="N6" s="155"/>
      <c r="O6" s="155"/>
    </row>
    <row r="7" spans="1:26" s="141" customFormat="1" ht="18">
      <c r="A7" s="156" t="s">
        <v>48</v>
      </c>
      <c r="B7" s="245"/>
      <c r="C7" s="246" t="s">
        <v>6</v>
      </c>
      <c r="D7" s="159" t="s">
        <v>7</v>
      </c>
      <c r="E7" s="159" t="s">
        <v>6</v>
      </c>
      <c r="F7" s="247" t="s">
        <v>7</v>
      </c>
      <c r="G7" s="247" t="s">
        <v>6</v>
      </c>
      <c r="H7" s="236" t="s">
        <v>7</v>
      </c>
      <c r="I7" s="159" t="s">
        <v>6</v>
      </c>
      <c r="J7" s="236" t="s">
        <v>7</v>
      </c>
      <c r="L7" s="248" t="s">
        <v>8</v>
      </c>
      <c r="M7" s="161" t="s">
        <v>2</v>
      </c>
      <c r="N7" s="161" t="s">
        <v>3</v>
      </c>
      <c r="O7" s="161" t="s">
        <v>4</v>
      </c>
    </row>
    <row r="8" spans="1:26" ht="18">
      <c r="A8" s="162" t="s">
        <v>9</v>
      </c>
      <c r="B8" s="249"/>
      <c r="C8" s="249"/>
      <c r="D8" s="249"/>
      <c r="E8" s="249"/>
      <c r="F8" s="249"/>
      <c r="G8" s="250"/>
      <c r="H8" s="250"/>
      <c r="I8" s="251"/>
      <c r="J8" s="251"/>
      <c r="K8" s="141"/>
      <c r="L8" s="252"/>
      <c r="M8" s="252"/>
      <c r="N8" s="252"/>
      <c r="O8" s="253"/>
    </row>
    <row r="9" spans="1:26" s="143" customFormat="1" ht="18">
      <c r="A9" s="162"/>
      <c r="B9" s="254" t="s">
        <v>10</v>
      </c>
      <c r="C9" s="255">
        <v>3963.2095591299999</v>
      </c>
      <c r="D9" s="256">
        <v>4089.5433918699996</v>
      </c>
      <c r="E9" s="257">
        <v>4018.1159631900023</v>
      </c>
      <c r="F9" s="256">
        <v>4044</v>
      </c>
      <c r="G9" s="256">
        <v>4022</v>
      </c>
      <c r="H9" s="258">
        <v>4155</v>
      </c>
      <c r="I9" s="258">
        <v>4090</v>
      </c>
      <c r="J9" s="258">
        <v>4254.47376317</v>
      </c>
      <c r="K9" s="259"/>
      <c r="L9" s="256">
        <v>8052.7529509799997</v>
      </c>
      <c r="M9" s="257">
        <v>8062</v>
      </c>
      <c r="N9" s="260">
        <v>8177</v>
      </c>
      <c r="O9" s="260">
        <v>8344.7868838299983</v>
      </c>
      <c r="T9" s="262"/>
      <c r="U9" s="262"/>
      <c r="V9" s="262"/>
      <c r="W9" s="262"/>
      <c r="Y9" s="262"/>
      <c r="Z9" s="262"/>
    </row>
    <row r="10" spans="1:26" ht="18">
      <c r="A10" s="162"/>
      <c r="B10" s="249" t="s">
        <v>11</v>
      </c>
      <c r="C10" s="263">
        <v>-2962.2667838100001</v>
      </c>
      <c r="D10" s="264">
        <v>-3122.8406718699994</v>
      </c>
      <c r="E10" s="265">
        <v>-3062.2228596499967</v>
      </c>
      <c r="F10" s="264">
        <v>-3034</v>
      </c>
      <c r="G10" s="264">
        <v>-2985</v>
      </c>
      <c r="H10" s="264">
        <v>-3106</v>
      </c>
      <c r="I10" s="264">
        <v>-2971</v>
      </c>
      <c r="J10" s="264">
        <v>-3154.6195576199998</v>
      </c>
      <c r="K10" s="266"/>
      <c r="L10" s="267">
        <v>-6085.1074556799913</v>
      </c>
      <c r="M10" s="268">
        <v>-6096</v>
      </c>
      <c r="N10" s="269">
        <v>-6091</v>
      </c>
      <c r="O10" s="269">
        <v>-6125.19250964</v>
      </c>
      <c r="T10" s="262"/>
      <c r="U10" s="262"/>
      <c r="V10" s="262"/>
      <c r="W10" s="262"/>
      <c r="X10" s="143"/>
      <c r="Y10" s="262"/>
      <c r="Z10" s="262"/>
    </row>
    <row r="11" spans="1:26" ht="18">
      <c r="A11" s="162"/>
      <c r="B11" s="249" t="s">
        <v>12</v>
      </c>
      <c r="C11" s="270">
        <v>1000.9427753199998</v>
      </c>
      <c r="D11" s="271">
        <v>966.70272000000023</v>
      </c>
      <c r="E11" s="272">
        <v>955.89310354000554</v>
      </c>
      <c r="F11" s="271">
        <v>1010</v>
      </c>
      <c r="G11" s="271">
        <v>1038</v>
      </c>
      <c r="H11" s="273">
        <v>1048</v>
      </c>
      <c r="I11" s="274">
        <v>1120</v>
      </c>
      <c r="J11" s="274">
        <v>1099.8542055500002</v>
      </c>
      <c r="K11" s="266"/>
      <c r="L11" s="271">
        <v>1967.6454953000084</v>
      </c>
      <c r="M11" s="272">
        <v>1966</v>
      </c>
      <c r="N11" s="275">
        <v>2086</v>
      </c>
      <c r="O11" s="275">
        <v>2219.5943741899982</v>
      </c>
      <c r="T11" s="262"/>
      <c r="U11" s="262"/>
      <c r="V11" s="262"/>
      <c r="W11" s="262"/>
      <c r="X11" s="143"/>
      <c r="Y11" s="262"/>
      <c r="Z11" s="262"/>
    </row>
    <row r="12" spans="1:26" ht="18">
      <c r="A12" s="162"/>
      <c r="B12" s="249" t="s">
        <v>13</v>
      </c>
      <c r="C12" s="263">
        <v>63.761294280000001</v>
      </c>
      <c r="D12" s="267">
        <v>56.675448420000023</v>
      </c>
      <c r="E12" s="268">
        <v>74.976736939999896</v>
      </c>
      <c r="F12" s="267">
        <v>63</v>
      </c>
      <c r="G12" s="267">
        <v>70</v>
      </c>
      <c r="H12" s="276">
        <v>67</v>
      </c>
      <c r="I12" s="277">
        <v>67</v>
      </c>
      <c r="J12" s="738">
        <v>68.833677659999992</v>
      </c>
      <c r="K12" s="266"/>
      <c r="L12" s="267">
        <v>120.43674270000002</v>
      </c>
      <c r="M12" s="268">
        <v>138</v>
      </c>
      <c r="N12" s="269">
        <v>137</v>
      </c>
      <c r="O12" s="269">
        <v>135.90961231</v>
      </c>
      <c r="T12" s="262"/>
      <c r="U12" s="262"/>
      <c r="V12" s="262"/>
      <c r="W12" s="262"/>
      <c r="X12" s="143"/>
      <c r="Y12" s="262"/>
      <c r="Z12" s="262"/>
    </row>
    <row r="13" spans="1:26" s="143" customFormat="1" ht="18">
      <c r="A13" s="162"/>
      <c r="B13" s="278" t="s">
        <v>14</v>
      </c>
      <c r="C13" s="255">
        <v>1064.7040695999997</v>
      </c>
      <c r="D13" s="256">
        <v>1023.3781684200003</v>
      </c>
      <c r="E13" s="257">
        <v>1030.8698404800055</v>
      </c>
      <c r="F13" s="256">
        <v>1073</v>
      </c>
      <c r="G13" s="256">
        <v>1107</v>
      </c>
      <c r="H13" s="258">
        <v>1116</v>
      </c>
      <c r="I13" s="261">
        <v>1187</v>
      </c>
      <c r="J13" s="261">
        <v>1168.6878832100001</v>
      </c>
      <c r="K13" s="266"/>
      <c r="L13" s="256">
        <v>2088.0822380000086</v>
      </c>
      <c r="M13" s="257">
        <v>2103</v>
      </c>
      <c r="N13" s="260">
        <v>2223</v>
      </c>
      <c r="O13" s="260">
        <v>2355.5039864999981</v>
      </c>
      <c r="T13" s="262"/>
      <c r="U13" s="262"/>
      <c r="V13" s="262"/>
      <c r="W13" s="262"/>
      <c r="Y13" s="262"/>
      <c r="Z13" s="262"/>
    </row>
    <row r="14" spans="1:26" s="287" customFormat="1" ht="18.75">
      <c r="A14" s="279"/>
      <c r="B14" s="278" t="s">
        <v>49</v>
      </c>
      <c r="C14" s="280">
        <v>0.26864692712179533</v>
      </c>
      <c r="D14" s="281">
        <v>0.25024264822681014</v>
      </c>
      <c r="E14" s="282">
        <v>0.25655552251946279</v>
      </c>
      <c r="F14" s="281">
        <v>0.26500000000000001</v>
      </c>
      <c r="G14" s="281">
        <v>0.27500000000000002</v>
      </c>
      <c r="H14" s="283">
        <v>0.26900000000000002</v>
      </c>
      <c r="I14" s="284">
        <v>0.28999999999999998</v>
      </c>
      <c r="J14" s="284">
        <v>0.27469622525988102</v>
      </c>
      <c r="K14" s="285"/>
      <c r="L14" s="281">
        <v>0.25930042194401287</v>
      </c>
      <c r="M14" s="282">
        <v>0.26100000000000001</v>
      </c>
      <c r="N14" s="286">
        <v>0.27200000000000002</v>
      </c>
      <c r="O14" s="286">
        <v>0.28227251567854239</v>
      </c>
      <c r="T14" s="262"/>
      <c r="U14" s="262"/>
      <c r="V14" s="262"/>
      <c r="W14" s="262"/>
      <c r="X14" s="143"/>
      <c r="Y14" s="262"/>
      <c r="Z14" s="262"/>
    </row>
    <row r="15" spans="1:26" ht="18">
      <c r="A15" s="193"/>
      <c r="B15" s="249" t="s">
        <v>20</v>
      </c>
      <c r="C15" s="270">
        <v>-900.84231848000002</v>
      </c>
      <c r="D15" s="267">
        <v>-900.61309903999995</v>
      </c>
      <c r="E15" s="268">
        <v>-889.81757963999996</v>
      </c>
      <c r="F15" s="267">
        <v>-926</v>
      </c>
      <c r="G15" s="267">
        <v>-885</v>
      </c>
      <c r="H15" s="288">
        <v>-892</v>
      </c>
      <c r="I15" s="289">
        <v>-903</v>
      </c>
      <c r="J15" s="289">
        <v>-902.66325032999987</v>
      </c>
      <c r="K15" s="266"/>
      <c r="L15" s="267">
        <v>-1801.4554175200001</v>
      </c>
      <c r="M15" s="268">
        <v>-1815</v>
      </c>
      <c r="N15" s="269">
        <v>-1777</v>
      </c>
      <c r="O15" s="269">
        <v>-1806.00346051</v>
      </c>
      <c r="T15" s="262"/>
      <c r="U15" s="262"/>
      <c r="V15" s="262"/>
      <c r="W15" s="262"/>
      <c r="X15" s="143"/>
      <c r="Y15" s="262"/>
      <c r="Z15" s="262"/>
    </row>
    <row r="16" spans="1:26" s="143" customFormat="1" ht="18">
      <c r="A16" s="290"/>
      <c r="B16" s="291" t="s">
        <v>50</v>
      </c>
      <c r="C16" s="292">
        <v>163.86175111999967</v>
      </c>
      <c r="D16" s="293">
        <v>122.76506937999989</v>
      </c>
      <c r="E16" s="294">
        <v>141.05226084000515</v>
      </c>
      <c r="F16" s="293">
        <v>147</v>
      </c>
      <c r="G16" s="293">
        <v>223</v>
      </c>
      <c r="H16" s="295">
        <v>223</v>
      </c>
      <c r="I16" s="296">
        <v>283</v>
      </c>
      <c r="J16" s="765">
        <v>266.02463288000024</v>
      </c>
      <c r="K16" s="266"/>
      <c r="L16" s="293">
        <v>286.62682048000806</v>
      </c>
      <c r="M16" s="297">
        <v>288</v>
      </c>
      <c r="N16" s="298">
        <v>446</v>
      </c>
      <c r="O16" s="298">
        <v>549.5005259899981</v>
      </c>
      <c r="T16" s="262"/>
      <c r="U16" s="262"/>
      <c r="V16" s="262"/>
      <c r="W16" s="262"/>
      <c r="Y16" s="262"/>
      <c r="Z16" s="262"/>
    </row>
    <row r="17" spans="1:26" s="143" customFormat="1" ht="18">
      <c r="A17" s="299"/>
      <c r="B17" s="300"/>
      <c r="C17" s="301"/>
      <c r="D17" s="301"/>
      <c r="E17" s="302"/>
      <c r="F17" s="302"/>
      <c r="G17" s="302" t="s">
        <v>51</v>
      </c>
      <c r="H17" s="303" t="s">
        <v>51</v>
      </c>
      <c r="I17" s="302"/>
      <c r="J17" s="302"/>
      <c r="K17" s="266"/>
      <c r="L17" s="302"/>
      <c r="M17" s="302"/>
      <c r="N17" s="304" t="s">
        <v>51</v>
      </c>
      <c r="O17" s="304"/>
      <c r="T17" s="262"/>
      <c r="U17" s="262"/>
      <c r="V17" s="262"/>
      <c r="W17" s="262"/>
      <c r="Y17" s="262"/>
      <c r="Z17" s="262"/>
    </row>
    <row r="18" spans="1:26" s="143" customFormat="1" ht="18">
      <c r="A18" s="305" t="s">
        <v>52</v>
      </c>
      <c r="B18" s="306"/>
      <c r="C18" s="307"/>
      <c r="D18" s="308"/>
      <c r="E18" s="309"/>
      <c r="F18" s="309"/>
      <c r="G18" s="309" t="s">
        <v>51</v>
      </c>
      <c r="H18" s="310" t="s">
        <v>51</v>
      </c>
      <c r="I18" s="309"/>
      <c r="J18" s="309"/>
      <c r="K18" s="266"/>
      <c r="L18" s="309"/>
      <c r="M18" s="309"/>
      <c r="N18" s="311" t="s">
        <v>51</v>
      </c>
      <c r="O18" s="311"/>
      <c r="T18" s="262"/>
      <c r="U18" s="262"/>
      <c r="V18" s="262"/>
      <c r="W18" s="262"/>
      <c r="Y18" s="262"/>
      <c r="Z18" s="262"/>
    </row>
    <row r="19" spans="1:26" s="143" customFormat="1" ht="18">
      <c r="A19" s="198"/>
      <c r="B19" s="312" t="s">
        <v>53</v>
      </c>
      <c r="C19" s="313">
        <v>2562.7418900999996</v>
      </c>
      <c r="D19" s="314">
        <v>2753.6462128400021</v>
      </c>
      <c r="E19" s="195">
        <v>2621.3737841499992</v>
      </c>
      <c r="F19" s="315">
        <v>2803</v>
      </c>
      <c r="G19" s="315">
        <v>2741</v>
      </c>
      <c r="H19" s="316">
        <v>2922</v>
      </c>
      <c r="I19" s="315">
        <v>2806</v>
      </c>
      <c r="J19" s="315">
        <v>3000.5825889599996</v>
      </c>
      <c r="K19" s="266"/>
      <c r="L19" s="315">
        <v>5316.3881029400027</v>
      </c>
      <c r="M19" s="195">
        <v>5425</v>
      </c>
      <c r="N19" s="317">
        <v>5663</v>
      </c>
      <c r="O19" s="317">
        <v>5806.4275000099997</v>
      </c>
      <c r="T19" s="262"/>
      <c r="U19" s="262"/>
      <c r="V19" s="262"/>
      <c r="W19" s="262"/>
      <c r="Y19" s="262"/>
      <c r="Z19" s="262"/>
    </row>
    <row r="20" spans="1:26" s="327" customFormat="1" ht="18.75">
      <c r="A20" s="318"/>
      <c r="B20" s="319" t="s">
        <v>54</v>
      </c>
      <c r="C20" s="320">
        <v>1882.0209883599998</v>
      </c>
      <c r="D20" s="321">
        <v>1914.9048941000021</v>
      </c>
      <c r="E20" s="322">
        <v>1946.50237889</v>
      </c>
      <c r="F20" s="323">
        <v>1996</v>
      </c>
      <c r="G20" s="323">
        <v>2027</v>
      </c>
      <c r="H20" s="324">
        <v>2078</v>
      </c>
      <c r="I20" s="325">
        <v>2125</v>
      </c>
      <c r="J20" s="325">
        <v>2146.5038130599996</v>
      </c>
      <c r="K20" s="266"/>
      <c r="L20" s="323">
        <v>3796.9258824600024</v>
      </c>
      <c r="M20" s="322">
        <v>3943</v>
      </c>
      <c r="N20" s="326">
        <v>4105</v>
      </c>
      <c r="O20" s="326">
        <v>4271.2947758999999</v>
      </c>
      <c r="T20" s="262"/>
      <c r="U20" s="262"/>
      <c r="V20" s="262"/>
      <c r="W20" s="262"/>
      <c r="X20" s="143"/>
      <c r="Y20" s="262"/>
      <c r="Z20" s="262"/>
    </row>
    <row r="21" spans="1:26" s="327" customFormat="1" ht="18.75">
      <c r="A21" s="318"/>
      <c r="B21" s="319" t="s">
        <v>55</v>
      </c>
      <c r="C21" s="320">
        <v>680.74048818999995</v>
      </c>
      <c r="D21" s="321">
        <v>838.74111755000013</v>
      </c>
      <c r="E21" s="322">
        <v>674.87084515999959</v>
      </c>
      <c r="F21" s="323">
        <v>807</v>
      </c>
      <c r="G21" s="323">
        <v>714</v>
      </c>
      <c r="H21" s="328">
        <v>844</v>
      </c>
      <c r="I21" s="325">
        <v>681</v>
      </c>
      <c r="J21" s="325">
        <v>854.07877589999998</v>
      </c>
      <c r="K21" s="266"/>
      <c r="L21" s="323">
        <v>1519.4816057399998</v>
      </c>
      <c r="M21" s="322">
        <v>1482</v>
      </c>
      <c r="N21" s="326">
        <v>1559</v>
      </c>
      <c r="O21" s="326">
        <v>1535.13272411</v>
      </c>
      <c r="T21" s="262"/>
      <c r="U21" s="262"/>
      <c r="V21" s="262"/>
      <c r="W21" s="262"/>
      <c r="X21" s="143"/>
      <c r="Y21" s="262"/>
      <c r="Z21" s="262"/>
    </row>
    <row r="22" spans="1:26" s="327" customFormat="1" ht="18.75">
      <c r="A22" s="318"/>
      <c r="B22" s="319"/>
      <c r="C22" s="320"/>
      <c r="D22" s="321"/>
      <c r="E22" s="329"/>
      <c r="F22" s="323"/>
      <c r="G22" s="323" t="s">
        <v>51</v>
      </c>
      <c r="H22" s="330" t="s">
        <v>51</v>
      </c>
      <c r="I22" s="323"/>
      <c r="J22" s="323"/>
      <c r="K22" s="266"/>
      <c r="L22" s="323"/>
      <c r="M22" s="329"/>
      <c r="N22" s="330" t="s">
        <v>51</v>
      </c>
      <c r="O22" s="330"/>
      <c r="P22" s="331"/>
      <c r="T22" s="262"/>
      <c r="U22" s="262"/>
      <c r="V22" s="262"/>
      <c r="W22" s="262"/>
      <c r="X22" s="143"/>
      <c r="Y22" s="262"/>
      <c r="Z22" s="262"/>
    </row>
    <row r="23" spans="1:26" s="143" customFormat="1" ht="18">
      <c r="A23" s="198"/>
      <c r="B23" s="332" t="s">
        <v>56</v>
      </c>
      <c r="C23" s="333">
        <v>611.22844461000113</v>
      </c>
      <c r="D23" s="334">
        <v>609.99943488999361</v>
      </c>
      <c r="E23" s="192">
        <v>618.22121925000079</v>
      </c>
      <c r="F23" s="335">
        <v>629</v>
      </c>
      <c r="G23" s="335">
        <v>641</v>
      </c>
      <c r="H23" s="336">
        <v>654</v>
      </c>
      <c r="I23" s="337">
        <v>657</v>
      </c>
      <c r="J23" s="337">
        <v>651.30758172000037</v>
      </c>
      <c r="K23" s="266"/>
      <c r="L23" s="335">
        <v>1221.2278794799959</v>
      </c>
      <c r="M23" s="192">
        <v>1247</v>
      </c>
      <c r="N23" s="338">
        <v>1295</v>
      </c>
      <c r="O23" s="338">
        <v>1307.8360964499984</v>
      </c>
      <c r="P23" s="220"/>
      <c r="T23" s="262"/>
      <c r="U23" s="262"/>
      <c r="V23" s="262"/>
      <c r="W23" s="262"/>
      <c r="Y23" s="262"/>
      <c r="Z23" s="262"/>
    </row>
    <row r="24" spans="1:26" s="331" customFormat="1" ht="18.75">
      <c r="A24" s="339"/>
      <c r="B24" s="319" t="s">
        <v>57</v>
      </c>
      <c r="C24" s="340">
        <v>481.98243451000019</v>
      </c>
      <c r="D24" s="341">
        <v>486.09089463999987</v>
      </c>
      <c r="E24" s="322">
        <v>493.89010621000011</v>
      </c>
      <c r="F24" s="322">
        <v>513</v>
      </c>
      <c r="G24" s="322">
        <v>520</v>
      </c>
      <c r="H24" s="342">
        <v>531</v>
      </c>
      <c r="I24" s="343">
        <v>535</v>
      </c>
      <c r="J24" s="343">
        <v>533.24029332999999</v>
      </c>
      <c r="K24" s="344"/>
      <c r="L24" s="322">
        <v>968.07332914999995</v>
      </c>
      <c r="M24" s="322">
        <v>1006</v>
      </c>
      <c r="N24" s="345">
        <v>1051</v>
      </c>
      <c r="O24" s="345">
        <v>1068.0013664800001</v>
      </c>
      <c r="T24" s="346"/>
      <c r="U24" s="346"/>
      <c r="V24" s="346"/>
      <c r="W24" s="346"/>
      <c r="X24" s="220"/>
      <c r="Y24" s="346"/>
      <c r="Z24" s="346"/>
    </row>
    <row r="25" spans="1:26" s="331" customFormat="1" ht="18.75">
      <c r="A25" s="339"/>
      <c r="B25" s="319" t="s">
        <v>58</v>
      </c>
      <c r="C25" s="340">
        <v>87.289931140000036</v>
      </c>
      <c r="D25" s="341">
        <v>82.349271309999992</v>
      </c>
      <c r="E25" s="322">
        <v>82.168616450000002</v>
      </c>
      <c r="F25" s="322">
        <v>83</v>
      </c>
      <c r="G25" s="322">
        <v>88</v>
      </c>
      <c r="H25" s="342">
        <v>91</v>
      </c>
      <c r="I25" s="343">
        <v>92</v>
      </c>
      <c r="J25" s="343">
        <v>88.957874680000003</v>
      </c>
      <c r="K25" s="344"/>
      <c r="L25" s="322">
        <v>169.63920245</v>
      </c>
      <c r="M25" s="322">
        <v>166</v>
      </c>
      <c r="N25" s="347">
        <v>179</v>
      </c>
      <c r="O25" s="739">
        <v>181.08429662</v>
      </c>
      <c r="T25" s="346"/>
      <c r="U25" s="346"/>
      <c r="V25" s="346"/>
      <c r="W25" s="346"/>
      <c r="X25" s="220"/>
      <c r="Y25" s="346"/>
      <c r="Z25" s="346"/>
    </row>
    <row r="26" spans="1:26" s="331" customFormat="1" ht="21.75">
      <c r="A26" s="339"/>
      <c r="B26" s="319" t="s">
        <v>59</v>
      </c>
      <c r="C26" s="340">
        <v>41.956078960000923</v>
      </c>
      <c r="D26" s="341">
        <v>41.559268939994695</v>
      </c>
      <c r="E26" s="322">
        <v>42.16249667000028</v>
      </c>
      <c r="F26" s="322">
        <v>33</v>
      </c>
      <c r="G26" s="322">
        <v>33</v>
      </c>
      <c r="H26" s="342">
        <v>32</v>
      </c>
      <c r="I26" s="343">
        <v>30</v>
      </c>
      <c r="J26" s="343">
        <v>29.10941371000041</v>
      </c>
      <c r="K26" s="344"/>
      <c r="L26" s="322">
        <v>83.515347879996739</v>
      </c>
      <c r="M26" s="322">
        <v>75</v>
      </c>
      <c r="N26" s="347">
        <v>65</v>
      </c>
      <c r="O26" s="739">
        <v>58.750433349998275</v>
      </c>
      <c r="T26" s="346"/>
      <c r="U26" s="346"/>
      <c r="V26" s="346"/>
      <c r="W26" s="346"/>
      <c r="X26" s="220"/>
      <c r="Y26" s="346"/>
      <c r="Z26" s="346"/>
    </row>
    <row r="27" spans="1:26" s="327" customFormat="1" ht="18.75">
      <c r="A27" s="318"/>
      <c r="B27" s="319"/>
      <c r="C27" s="320"/>
      <c r="D27" s="321"/>
      <c r="E27" s="329"/>
      <c r="F27" s="323"/>
      <c r="G27" s="323" t="s">
        <v>51</v>
      </c>
      <c r="H27" s="330" t="s">
        <v>51</v>
      </c>
      <c r="I27" s="323"/>
      <c r="J27" s="323"/>
      <c r="K27" s="266"/>
      <c r="L27" s="323"/>
      <c r="M27" s="329"/>
      <c r="N27" s="330" t="s">
        <v>51</v>
      </c>
      <c r="O27" s="330"/>
      <c r="P27" s="331"/>
      <c r="T27" s="262"/>
      <c r="U27" s="262"/>
      <c r="V27" s="262"/>
      <c r="W27" s="262"/>
      <c r="X27" s="143"/>
      <c r="Y27" s="262"/>
      <c r="Z27" s="262"/>
    </row>
    <row r="28" spans="1:26" s="327" customFormat="1" ht="18" hidden="1" customHeight="1">
      <c r="A28" s="318"/>
      <c r="B28" s="312" t="s">
        <v>243</v>
      </c>
      <c r="C28" s="320">
        <v>0.25797103999999998</v>
      </c>
      <c r="D28" s="321">
        <v>0.15272311999999999</v>
      </c>
      <c r="E28" s="323">
        <v>0</v>
      </c>
      <c r="F28" s="348" t="s">
        <v>244</v>
      </c>
      <c r="G28" s="348" t="s">
        <v>245</v>
      </c>
      <c r="H28" s="330" t="s">
        <v>51</v>
      </c>
      <c r="I28" s="348"/>
      <c r="J28" s="348"/>
      <c r="K28" s="266"/>
      <c r="L28" s="323">
        <v>0.41069415999999997</v>
      </c>
      <c r="M28" s="348" t="s">
        <v>244</v>
      </c>
      <c r="N28" s="330" t="s">
        <v>246</v>
      </c>
      <c r="O28" s="330"/>
      <c r="P28" s="331"/>
      <c r="T28" s="262"/>
      <c r="U28" s="262"/>
      <c r="V28" s="262"/>
      <c r="W28" s="262"/>
      <c r="X28" s="143"/>
      <c r="Y28" s="262"/>
      <c r="Z28" s="262"/>
    </row>
    <row r="29" spans="1:26" s="357" customFormat="1" ht="18">
      <c r="A29" s="349"/>
      <c r="B29" s="312" t="s">
        <v>60</v>
      </c>
      <c r="C29" s="350">
        <v>788.98125337999909</v>
      </c>
      <c r="D29" s="351">
        <v>725.74502102000315</v>
      </c>
      <c r="E29" s="352">
        <v>778.52095979000228</v>
      </c>
      <c r="F29" s="352">
        <v>612</v>
      </c>
      <c r="G29" s="352">
        <v>640</v>
      </c>
      <c r="H29" s="353">
        <v>579</v>
      </c>
      <c r="I29" s="354">
        <v>628</v>
      </c>
      <c r="J29" s="354">
        <v>602.58359249</v>
      </c>
      <c r="K29" s="266"/>
      <c r="L29" s="352">
        <v>1514.7262744000009</v>
      </c>
      <c r="M29" s="352">
        <v>1390</v>
      </c>
      <c r="N29" s="355">
        <v>1219</v>
      </c>
      <c r="O29" s="355">
        <v>1230.5232873700002</v>
      </c>
      <c r="P29" s="356"/>
      <c r="T29" s="262"/>
      <c r="U29" s="262"/>
      <c r="V29" s="262"/>
      <c r="W29" s="262"/>
      <c r="X29" s="143"/>
      <c r="Y29" s="262"/>
      <c r="Z29" s="262"/>
    </row>
    <row r="30" spans="1:26" ht="17.850000000000001" customHeight="1">
      <c r="A30" s="202"/>
      <c r="B30" s="250"/>
      <c r="C30" s="255">
        <v>3963.2095591299999</v>
      </c>
      <c r="D30" s="255">
        <v>4089.5433918699987</v>
      </c>
      <c r="E30" s="257">
        <v>4018.1159631900018</v>
      </c>
      <c r="F30" s="255">
        <v>4044</v>
      </c>
      <c r="G30" s="255">
        <v>4022</v>
      </c>
      <c r="H30" s="316">
        <v>4155</v>
      </c>
      <c r="I30" s="358">
        <v>4090</v>
      </c>
      <c r="J30" s="358">
        <v>4254.47376317</v>
      </c>
      <c r="K30" s="266"/>
      <c r="L30" s="256">
        <v>8052.7529509799997</v>
      </c>
      <c r="M30" s="257">
        <v>8062</v>
      </c>
      <c r="N30" s="317">
        <v>8177</v>
      </c>
      <c r="O30" s="317">
        <v>8344.7868838299983</v>
      </c>
      <c r="T30" s="262"/>
      <c r="U30" s="262"/>
      <c r="V30" s="262"/>
      <c r="W30" s="262"/>
      <c r="X30" s="143"/>
      <c r="Y30" s="262"/>
      <c r="Z30" s="262"/>
    </row>
    <row r="31" spans="1:26" ht="18">
      <c r="A31" s="202"/>
      <c r="B31" s="250"/>
      <c r="C31" s="313"/>
      <c r="D31" s="313"/>
      <c r="E31" s="315"/>
      <c r="F31" s="313"/>
      <c r="G31" s="313" t="s">
        <v>51</v>
      </c>
      <c r="H31" s="310" t="s">
        <v>51</v>
      </c>
      <c r="I31" s="313"/>
      <c r="J31" s="313"/>
      <c r="K31" s="266"/>
      <c r="L31" s="315"/>
      <c r="M31" s="315"/>
      <c r="N31" s="311" t="s">
        <v>51</v>
      </c>
      <c r="O31" s="313"/>
      <c r="T31" s="262"/>
      <c r="U31" s="262"/>
      <c r="V31" s="262"/>
      <c r="W31" s="262"/>
      <c r="X31" s="143"/>
      <c r="Y31" s="262"/>
      <c r="Z31" s="262"/>
    </row>
    <row r="32" spans="1:26" ht="18">
      <c r="A32" s="198" t="s">
        <v>61</v>
      </c>
      <c r="B32" s="359"/>
      <c r="C32" s="360"/>
      <c r="D32" s="360"/>
      <c r="E32" s="361"/>
      <c r="F32" s="360"/>
      <c r="G32" s="360"/>
      <c r="H32" s="362" t="s">
        <v>51</v>
      </c>
      <c r="I32" s="360"/>
      <c r="J32" s="360"/>
      <c r="K32" s="266"/>
      <c r="L32" s="361"/>
      <c r="M32" s="361"/>
      <c r="N32" s="363" t="s">
        <v>51</v>
      </c>
      <c r="O32" s="360"/>
      <c r="T32" s="262"/>
      <c r="U32" s="262"/>
      <c r="V32" s="262"/>
      <c r="W32" s="262"/>
      <c r="X32" s="143"/>
      <c r="Y32" s="262"/>
      <c r="Z32" s="262"/>
    </row>
    <row r="33" spans="1:26" ht="21">
      <c r="A33" s="202"/>
      <c r="B33" s="364" t="s">
        <v>64</v>
      </c>
      <c r="C33" s="728">
        <v>1097.0858362500001</v>
      </c>
      <c r="D33" s="728">
        <v>1231.8489815199989</v>
      </c>
      <c r="E33" s="728">
        <f>1135.06929743+18</f>
        <v>1153.06929743</v>
      </c>
      <c r="F33" s="728">
        <v>1199</v>
      </c>
      <c r="G33" s="731">
        <v>1194.5659571400013</v>
      </c>
      <c r="H33" s="723">
        <v>1300.7618230299995</v>
      </c>
      <c r="I33" s="730">
        <v>1139.4616567100002</v>
      </c>
      <c r="J33" s="730">
        <v>1256.8867309300003</v>
      </c>
      <c r="K33" s="729"/>
      <c r="L33" s="719">
        <v>2328.934817769999</v>
      </c>
      <c r="M33" s="719">
        <v>2352</v>
      </c>
      <c r="N33" s="723">
        <v>2495.3277802100001</v>
      </c>
      <c r="O33" s="730">
        <v>2396.3483876400005</v>
      </c>
      <c r="T33" s="262"/>
      <c r="U33" s="262"/>
      <c r="V33" s="262"/>
      <c r="W33" s="262"/>
      <c r="X33" s="143"/>
      <c r="Y33" s="262"/>
      <c r="Z33" s="262"/>
    </row>
    <row r="34" spans="1:26" ht="21">
      <c r="A34" s="202"/>
      <c r="B34" s="364" t="s">
        <v>296</v>
      </c>
      <c r="C34" s="728">
        <v>604.85551328999998</v>
      </c>
      <c r="D34" s="728">
        <v>629.61891286000014</v>
      </c>
      <c r="E34" s="719">
        <v>650.27783848000001</v>
      </c>
      <c r="F34" s="728">
        <v>622</v>
      </c>
      <c r="G34" s="731">
        <v>600</v>
      </c>
      <c r="H34" s="730">
        <v>569</v>
      </c>
      <c r="I34" s="730">
        <v>570</v>
      </c>
      <c r="J34" s="768">
        <v>613</v>
      </c>
      <c r="K34" s="729"/>
      <c r="L34" s="719">
        <v>1234.4744261500002</v>
      </c>
      <c r="M34" s="719">
        <v>1272</v>
      </c>
      <c r="N34" s="723">
        <v>1168.8385292500002</v>
      </c>
      <c r="O34" s="730">
        <v>1182.8602811799999</v>
      </c>
      <c r="T34" s="262"/>
      <c r="U34" s="262"/>
      <c r="V34" s="262"/>
      <c r="W34" s="262"/>
      <c r="X34" s="143"/>
      <c r="Y34" s="262"/>
      <c r="Z34" s="262"/>
    </row>
    <row r="35" spans="1:26" ht="21">
      <c r="A35" s="202"/>
      <c r="B35" s="165" t="s">
        <v>287</v>
      </c>
      <c r="C35" s="728">
        <v>586.95545044000005</v>
      </c>
      <c r="D35" s="728">
        <v>584.45600622000234</v>
      </c>
      <c r="E35" s="728">
        <f>593.195443640001-18</f>
        <v>575.19544364000103</v>
      </c>
      <c r="F35" s="728">
        <v>545</v>
      </c>
      <c r="G35" s="720">
        <v>539.29267577000007</v>
      </c>
      <c r="H35" s="720">
        <v>558.12761022999996</v>
      </c>
      <c r="I35" s="720">
        <v>555.90929141000004</v>
      </c>
      <c r="J35" s="720">
        <v>563.95935789000009</v>
      </c>
      <c r="K35" s="729"/>
      <c r="L35" s="719">
        <v>1171.4114566600024</v>
      </c>
      <c r="M35" s="719">
        <v>1120</v>
      </c>
      <c r="N35" s="723">
        <v>1097.4202860000003</v>
      </c>
      <c r="O35" s="730">
        <v>1119.8686493</v>
      </c>
      <c r="T35" s="262"/>
      <c r="U35" s="262"/>
      <c r="V35" s="262"/>
      <c r="W35" s="262"/>
      <c r="X35" s="143"/>
      <c r="Y35" s="262"/>
      <c r="Z35" s="262"/>
    </row>
    <row r="36" spans="1:26" ht="21">
      <c r="A36" s="202"/>
      <c r="B36" s="364" t="s">
        <v>63</v>
      </c>
      <c r="C36" s="728">
        <v>512.45286294000005</v>
      </c>
      <c r="D36" s="728">
        <v>503.96495625</v>
      </c>
      <c r="E36" s="728">
        <v>513.72368720000009</v>
      </c>
      <c r="F36" s="728">
        <v>484</v>
      </c>
      <c r="G36" s="731">
        <v>435.90160402999987</v>
      </c>
      <c r="H36" s="723">
        <v>458.22279044999982</v>
      </c>
      <c r="I36" s="730">
        <v>478.28543264000007</v>
      </c>
      <c r="J36" s="730">
        <v>484.88911529999996</v>
      </c>
      <c r="K36" s="729"/>
      <c r="L36" s="719">
        <v>1016.4178191900004</v>
      </c>
      <c r="M36" s="719">
        <v>998</v>
      </c>
      <c r="N36" s="723">
        <v>894.12439447999964</v>
      </c>
      <c r="O36" s="730">
        <v>963.17454794000025</v>
      </c>
      <c r="T36" s="262"/>
      <c r="U36" s="262"/>
      <c r="V36" s="262"/>
      <c r="W36" s="262"/>
      <c r="X36" s="143"/>
      <c r="Y36" s="262"/>
      <c r="Z36" s="262"/>
    </row>
    <row r="37" spans="1:26" ht="18">
      <c r="A37" s="202"/>
      <c r="B37" s="165" t="s">
        <v>43</v>
      </c>
      <c r="C37" s="728">
        <v>126.19641123000001</v>
      </c>
      <c r="D37" s="728">
        <v>138.19096518000003</v>
      </c>
      <c r="E37" s="719">
        <v>141.90130920000004</v>
      </c>
      <c r="F37" s="728">
        <v>148</v>
      </c>
      <c r="G37" s="731">
        <v>166.24702545999997</v>
      </c>
      <c r="H37" s="722">
        <v>170.84425329999999</v>
      </c>
      <c r="I37" s="730">
        <v>181.03713026000003</v>
      </c>
      <c r="J37" s="730">
        <v>184.02262827999999</v>
      </c>
      <c r="K37" s="729"/>
      <c r="L37" s="719">
        <v>264.38737641000006</v>
      </c>
      <c r="M37" s="719">
        <v>290</v>
      </c>
      <c r="N37" s="723">
        <v>337.09127875999997</v>
      </c>
      <c r="O37" s="730">
        <v>365.05975854000002</v>
      </c>
      <c r="T37" s="262"/>
      <c r="U37" s="262"/>
      <c r="V37" s="262"/>
      <c r="W37" s="262"/>
      <c r="X37" s="143"/>
      <c r="Y37" s="262"/>
      <c r="Z37" s="262"/>
    </row>
    <row r="38" spans="1:26" ht="21.75" thickBot="1">
      <c r="A38" s="202"/>
      <c r="B38" s="165" t="s">
        <v>272</v>
      </c>
      <c r="C38" s="732">
        <v>34.720709659999997</v>
      </c>
      <c r="D38" s="732">
        <v>34.760849840000006</v>
      </c>
      <c r="E38" s="721">
        <v>28.055283699999997</v>
      </c>
      <c r="F38" s="732">
        <v>36</v>
      </c>
      <c r="G38" s="766">
        <v>48.902138450000002</v>
      </c>
      <c r="H38" s="722">
        <v>49.072608549999998</v>
      </c>
      <c r="I38" s="734">
        <v>46.048933610000006</v>
      </c>
      <c r="J38" s="734">
        <v>51.831951430000004</v>
      </c>
      <c r="K38" s="729"/>
      <c r="L38" s="733">
        <v>69.481559500000003</v>
      </c>
      <c r="M38" s="719">
        <v>64</v>
      </c>
      <c r="N38" s="723">
        <v>97.974747000000008</v>
      </c>
      <c r="O38" s="734">
        <v>97.88088504000001</v>
      </c>
      <c r="T38" s="262"/>
      <c r="U38" s="262"/>
      <c r="V38" s="262"/>
      <c r="W38" s="262"/>
      <c r="X38" s="143"/>
      <c r="Y38" s="262"/>
      <c r="Z38" s="262"/>
    </row>
    <row r="39" spans="1:26" ht="18">
      <c r="A39" s="367"/>
      <c r="B39" s="433"/>
      <c r="C39" s="735">
        <v>2962.2667838100001</v>
      </c>
      <c r="D39" s="735">
        <v>3122.8406718700016</v>
      </c>
      <c r="E39" s="724">
        <v>3062.2228596500008</v>
      </c>
      <c r="F39" s="735">
        <v>3034</v>
      </c>
      <c r="G39" s="767">
        <v>2985</v>
      </c>
      <c r="H39" s="725">
        <v>3106</v>
      </c>
      <c r="I39" s="737">
        <v>2971</v>
      </c>
      <c r="J39" s="737">
        <v>3154.6195576200007</v>
      </c>
      <c r="K39" s="729"/>
      <c r="L39" s="736">
        <v>6085.1074556800013</v>
      </c>
      <c r="M39" s="726">
        <v>6096</v>
      </c>
      <c r="N39" s="727">
        <v>6091</v>
      </c>
      <c r="O39" s="737">
        <v>6125.1925096400009</v>
      </c>
      <c r="T39" s="262"/>
      <c r="U39" s="262"/>
      <c r="V39" s="262"/>
      <c r="W39" s="262"/>
      <c r="X39" s="143"/>
      <c r="Y39" s="262"/>
      <c r="Z39" s="262"/>
    </row>
    <row r="40" spans="1:26" ht="18">
      <c r="A40" s="139"/>
      <c r="B40" s="139"/>
      <c r="C40" s="368"/>
      <c r="D40" s="368"/>
      <c r="E40" s="368"/>
      <c r="F40" s="368"/>
      <c r="G40" s="368"/>
      <c r="H40" s="368"/>
      <c r="I40" s="368"/>
      <c r="J40" s="368"/>
      <c r="K40" s="369"/>
    </row>
    <row r="41" spans="1:26" ht="18">
      <c r="A41" s="139"/>
      <c r="B41" s="370" t="s">
        <v>65</v>
      </c>
      <c r="C41" s="368"/>
      <c r="D41" s="368"/>
      <c r="E41" s="368"/>
      <c r="F41" s="368"/>
      <c r="G41" s="368"/>
      <c r="H41" s="368"/>
      <c r="I41" s="368"/>
      <c r="J41" s="368"/>
      <c r="K41" s="369"/>
    </row>
    <row r="42" spans="1:26" ht="18.75">
      <c r="B42" s="370" t="s">
        <v>66</v>
      </c>
      <c r="C42" s="370"/>
      <c r="D42" s="370"/>
      <c r="E42" s="163"/>
      <c r="F42" s="163"/>
      <c r="G42" s="163"/>
      <c r="H42" s="163"/>
      <c r="I42" s="163"/>
      <c r="J42" s="163"/>
    </row>
    <row r="43" spans="1:26" ht="18.75">
      <c r="B43" s="370" t="s">
        <v>298</v>
      </c>
      <c r="C43" s="370"/>
      <c r="D43" s="370"/>
      <c r="E43" s="163"/>
      <c r="F43" s="163"/>
      <c r="G43" s="163"/>
      <c r="H43" s="163"/>
      <c r="I43" s="163"/>
      <c r="J43" s="163"/>
    </row>
    <row r="44" spans="1:26" ht="18">
      <c r="A44" s="163"/>
      <c r="B44" s="370" t="s">
        <v>297</v>
      </c>
      <c r="C44" s="370"/>
      <c r="D44" s="370"/>
      <c r="E44" s="371"/>
      <c r="F44" s="371"/>
      <c r="G44" s="371"/>
      <c r="H44" s="371"/>
      <c r="I44" s="371"/>
      <c r="J44" s="371"/>
      <c r="K44" s="371"/>
      <c r="L44" s="371"/>
      <c r="M44" s="371"/>
    </row>
    <row r="45" spans="1:26" ht="18">
      <c r="C45" s="232"/>
      <c r="D45" s="232"/>
      <c r="E45" s="232"/>
      <c r="F45" s="232"/>
      <c r="G45" s="232"/>
      <c r="H45" s="232"/>
      <c r="I45" s="232"/>
      <c r="J45" s="232"/>
    </row>
    <row r="46" spans="1:26" ht="18">
      <c r="C46" s="163"/>
      <c r="D46" s="163"/>
      <c r="E46" s="163"/>
      <c r="F46" s="163"/>
      <c r="G46" s="163"/>
      <c r="H46" s="163"/>
      <c r="I46" s="163"/>
      <c r="J46" s="163"/>
    </row>
    <row r="48" spans="1:26">
      <c r="B48" s="228"/>
    </row>
  </sheetData>
  <mergeCells count="4">
    <mergeCell ref="C5:D5"/>
    <mergeCell ref="E5:F5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0D6E-C97F-4C04-BB64-B81DFECC5603}">
  <sheetPr>
    <pageSetUpPr fitToPage="1"/>
  </sheetPr>
  <dimension ref="A1:R53"/>
  <sheetViews>
    <sheetView view="pageBreakPreview" zoomScale="85" zoomScaleNormal="70" zoomScaleSheetLayoutView="85" workbookViewId="0">
      <selection activeCell="B1" sqref="B1"/>
    </sheetView>
  </sheetViews>
  <sheetFormatPr defaultColWidth="9.28515625" defaultRowHeight="16.5"/>
  <cols>
    <col min="1" max="1" width="1.7109375" style="137" customWidth="1"/>
    <col min="2" max="2" width="76" style="137" customWidth="1"/>
    <col min="3" max="4" width="20" style="137" hidden="1" customWidth="1"/>
    <col min="5" max="6" width="18.42578125" style="137" hidden="1" customWidth="1"/>
    <col min="7" max="8" width="17.5703125" style="137" customWidth="1"/>
    <col min="9" max="10" width="19.5703125" style="137" customWidth="1"/>
    <col min="11" max="11" width="13" style="141" customWidth="1"/>
    <col min="12" max="12" width="15.85546875" style="137" hidden="1" customWidth="1"/>
    <col min="13" max="13" width="16" style="137" hidden="1" customWidth="1"/>
    <col min="14" max="14" width="17.140625" style="141" customWidth="1"/>
    <col min="15" max="15" width="16.42578125" style="141" customWidth="1"/>
    <col min="16" max="16" width="48.140625" style="141" customWidth="1"/>
    <col min="17" max="18" width="9.28515625" style="141"/>
    <col min="19" max="16384" width="9.28515625" style="137"/>
  </cols>
  <sheetData>
    <row r="1" spans="1:18" ht="21" customHeight="1">
      <c r="A1" s="140" t="s">
        <v>0</v>
      </c>
      <c r="B1" s="163"/>
    </row>
    <row r="2" spans="1:18" ht="8.25" customHeight="1">
      <c r="A2" s="163"/>
      <c r="B2" s="163"/>
      <c r="C2" s="141"/>
      <c r="D2" s="141"/>
      <c r="E2" s="141"/>
    </row>
    <row r="3" spans="1:18" s="239" customFormat="1" ht="18">
      <c r="A3" s="237" t="s">
        <v>67</v>
      </c>
      <c r="B3" s="238"/>
      <c r="C3" s="141"/>
      <c r="D3" s="141"/>
      <c r="E3" s="228"/>
      <c r="F3" s="209"/>
      <c r="G3" s="209"/>
      <c r="H3" s="209"/>
      <c r="I3" s="209"/>
      <c r="J3" s="209"/>
      <c r="K3" s="209"/>
      <c r="N3" s="209"/>
      <c r="O3" s="209"/>
      <c r="P3" s="209"/>
      <c r="Q3" s="209"/>
      <c r="R3" s="209"/>
    </row>
    <row r="4" spans="1:18" s="141" customFormat="1" ht="11.25" customHeight="1">
      <c r="A4" s="373"/>
      <c r="B4" s="374"/>
      <c r="C4" s="137"/>
      <c r="D4" s="137"/>
      <c r="E4" s="137"/>
    </row>
    <row r="5" spans="1:18" ht="18" customHeight="1">
      <c r="A5" s="144"/>
      <c r="B5" s="145"/>
      <c r="C5" s="805" t="s">
        <v>68</v>
      </c>
      <c r="D5" s="806"/>
      <c r="E5" s="807" t="s">
        <v>2</v>
      </c>
      <c r="F5" s="808"/>
      <c r="G5" s="807" t="s">
        <v>3</v>
      </c>
      <c r="H5" s="809"/>
      <c r="I5" s="807" t="s">
        <v>4</v>
      </c>
      <c r="J5" s="808"/>
      <c r="K5" s="147"/>
      <c r="L5" s="148"/>
      <c r="M5" s="148"/>
      <c r="N5" s="148"/>
      <c r="O5" s="375"/>
    </row>
    <row r="6" spans="1:18" ht="17.45" hidden="1" customHeight="1">
      <c r="A6" s="149" t="s">
        <v>5</v>
      </c>
      <c r="B6" s="150"/>
      <c r="C6" s="243"/>
      <c r="D6" s="243"/>
      <c r="E6" s="152"/>
      <c r="F6" s="376"/>
      <c r="G6" s="152"/>
      <c r="H6" s="154"/>
      <c r="I6" s="154"/>
      <c r="J6" s="154"/>
      <c r="L6" s="155"/>
      <c r="M6" s="155"/>
      <c r="N6" s="155"/>
      <c r="O6" s="377"/>
    </row>
    <row r="7" spans="1:18" ht="18">
      <c r="A7" s="156" t="s">
        <v>5</v>
      </c>
      <c r="B7" s="378"/>
      <c r="C7" s="236" t="s">
        <v>6</v>
      </c>
      <c r="D7" s="236" t="s">
        <v>7</v>
      </c>
      <c r="E7" s="236" t="s">
        <v>6</v>
      </c>
      <c r="F7" s="236" t="s">
        <v>7</v>
      </c>
      <c r="G7" s="159" t="s">
        <v>6</v>
      </c>
      <c r="H7" s="236" t="s">
        <v>7</v>
      </c>
      <c r="I7" s="159" t="s">
        <v>6</v>
      </c>
      <c r="J7" s="236" t="s">
        <v>7</v>
      </c>
      <c r="K7" s="147"/>
      <c r="L7" s="161" t="s">
        <v>8</v>
      </c>
      <c r="M7" s="161" t="s">
        <v>2</v>
      </c>
      <c r="N7" s="161" t="s">
        <v>3</v>
      </c>
      <c r="O7" s="161" t="s">
        <v>4</v>
      </c>
    </row>
    <row r="8" spans="1:18" ht="18">
      <c r="A8" s="162" t="s">
        <v>9</v>
      </c>
      <c r="B8" s="163"/>
      <c r="C8" s="379"/>
      <c r="D8" s="379"/>
      <c r="E8" s="379"/>
      <c r="F8" s="379"/>
      <c r="G8" s="379"/>
      <c r="H8" s="379"/>
      <c r="I8" s="379"/>
      <c r="J8" s="379"/>
      <c r="K8" s="139"/>
      <c r="L8" s="379"/>
      <c r="M8" s="379"/>
      <c r="N8" s="379"/>
      <c r="O8" s="379"/>
    </row>
    <row r="9" spans="1:18" s="143" customFormat="1" ht="18">
      <c r="A9" s="162"/>
      <c r="B9" s="180" t="s">
        <v>10</v>
      </c>
      <c r="C9" s="380">
        <f>1959</f>
        <v>1959</v>
      </c>
      <c r="D9" s="380">
        <v>2030</v>
      </c>
      <c r="E9" s="380">
        <v>1893</v>
      </c>
      <c r="F9" s="380">
        <v>1998</v>
      </c>
      <c r="G9" s="380">
        <v>1877</v>
      </c>
      <c r="H9" s="380">
        <v>1932</v>
      </c>
      <c r="I9" s="380">
        <v>1860</v>
      </c>
      <c r="J9" s="380">
        <v>1831</v>
      </c>
      <c r="K9" s="381"/>
      <c r="L9" s="382">
        <v>3988</v>
      </c>
      <c r="M9" s="382">
        <v>3891</v>
      </c>
      <c r="N9" s="380">
        <v>3808</v>
      </c>
      <c r="O9" s="380">
        <v>3691</v>
      </c>
      <c r="P9" s="383"/>
      <c r="Q9" s="220"/>
      <c r="R9" s="220"/>
    </row>
    <row r="10" spans="1:18" ht="18">
      <c r="A10" s="162"/>
      <c r="B10" s="173" t="s">
        <v>11</v>
      </c>
      <c r="C10" s="384">
        <f>-1251-3</f>
        <v>-1254</v>
      </c>
      <c r="D10" s="384">
        <v>-1328</v>
      </c>
      <c r="E10" s="384">
        <f>-1210-5</f>
        <v>-1215</v>
      </c>
      <c r="F10" s="384">
        <v>-1313</v>
      </c>
      <c r="G10" s="384">
        <v>-1183</v>
      </c>
      <c r="H10" s="384">
        <v>-1246</v>
      </c>
      <c r="I10" s="384">
        <v>-1206</v>
      </c>
      <c r="J10" s="384">
        <v>-1226</v>
      </c>
      <c r="K10" s="385"/>
      <c r="L10" s="386">
        <v>-2582</v>
      </c>
      <c r="M10" s="386">
        <v>-2527</v>
      </c>
      <c r="N10" s="384">
        <v>-2429</v>
      </c>
      <c r="O10" s="384">
        <v>-2432</v>
      </c>
      <c r="P10" s="383"/>
    </row>
    <row r="11" spans="1:18" ht="18">
      <c r="A11" s="162"/>
      <c r="B11" s="166" t="s">
        <v>12</v>
      </c>
      <c r="C11" s="387">
        <f>707-3</f>
        <v>704</v>
      </c>
      <c r="D11" s="387">
        <v>702</v>
      </c>
      <c r="E11" s="387">
        <f>683-4</f>
        <v>679</v>
      </c>
      <c r="F11" s="387">
        <v>685</v>
      </c>
      <c r="G11" s="387">
        <v>694</v>
      </c>
      <c r="H11" s="387">
        <v>686</v>
      </c>
      <c r="I11" s="387">
        <v>653</v>
      </c>
      <c r="J11" s="387">
        <v>605</v>
      </c>
      <c r="K11" s="385"/>
      <c r="L11" s="388">
        <v>1407</v>
      </c>
      <c r="M11" s="388">
        <v>1364</v>
      </c>
      <c r="N11" s="387">
        <v>1379</v>
      </c>
      <c r="O11" s="387">
        <v>1259</v>
      </c>
      <c r="P11" s="383"/>
    </row>
    <row r="12" spans="1:18" ht="21">
      <c r="A12" s="162"/>
      <c r="B12" s="389" t="s">
        <v>69</v>
      </c>
      <c r="C12" s="384">
        <f>42</f>
        <v>42</v>
      </c>
      <c r="D12" s="384">
        <v>41</v>
      </c>
      <c r="E12" s="384">
        <v>58</v>
      </c>
      <c r="F12" s="384">
        <v>29</v>
      </c>
      <c r="G12" s="384">
        <v>63</v>
      </c>
      <c r="H12" s="384">
        <v>36</v>
      </c>
      <c r="I12" s="384">
        <v>79</v>
      </c>
      <c r="J12" s="384">
        <v>40</v>
      </c>
      <c r="K12" s="385"/>
      <c r="L12" s="386">
        <v>83</v>
      </c>
      <c r="M12" s="386">
        <v>87</v>
      </c>
      <c r="N12" s="384">
        <v>98</v>
      </c>
      <c r="O12" s="384">
        <v>119</v>
      </c>
      <c r="P12" s="383"/>
    </row>
    <row r="13" spans="1:18" s="143" customFormat="1" ht="18">
      <c r="A13" s="162"/>
      <c r="B13" s="180" t="s">
        <v>14</v>
      </c>
      <c r="C13" s="380">
        <f>750-3</f>
        <v>747</v>
      </c>
      <c r="D13" s="380">
        <v>743</v>
      </c>
      <c r="E13" s="380">
        <f>741-4</f>
        <v>737</v>
      </c>
      <c r="F13" s="380">
        <v>714</v>
      </c>
      <c r="G13" s="380">
        <v>756</v>
      </c>
      <c r="H13" s="380">
        <v>722</v>
      </c>
      <c r="I13" s="380">
        <v>732</v>
      </c>
      <c r="J13" s="380">
        <v>645</v>
      </c>
      <c r="K13" s="381"/>
      <c r="L13" s="382">
        <v>1490</v>
      </c>
      <c r="M13" s="382">
        <v>1451</v>
      </c>
      <c r="N13" s="380">
        <v>1478</v>
      </c>
      <c r="O13" s="380">
        <v>1378</v>
      </c>
      <c r="P13" s="383"/>
      <c r="Q13" s="220"/>
      <c r="R13" s="220"/>
    </row>
    <row r="14" spans="1:18" s="287" customFormat="1" ht="18.75">
      <c r="A14" s="279"/>
      <c r="B14" s="180" t="s">
        <v>49</v>
      </c>
      <c r="C14" s="390">
        <v>0.38300000000000001</v>
      </c>
      <c r="D14" s="390">
        <v>0.36599999999999999</v>
      </c>
      <c r="E14" s="391">
        <f>39.1%-0.2%</f>
        <v>0.38900000000000001</v>
      </c>
      <c r="F14" s="390">
        <v>0.35799999999999998</v>
      </c>
      <c r="G14" s="390">
        <v>0.40300000000000002</v>
      </c>
      <c r="H14" s="390">
        <v>0.374</v>
      </c>
      <c r="I14" s="390">
        <v>0.39400000000000002</v>
      </c>
      <c r="J14" s="390">
        <v>0.35299999999999998</v>
      </c>
      <c r="K14" s="392"/>
      <c r="L14" s="393">
        <v>0.374</v>
      </c>
      <c r="M14" s="393">
        <v>0.373</v>
      </c>
      <c r="N14" s="390">
        <v>0.38800000000000001</v>
      </c>
      <c r="O14" s="390">
        <v>0.373</v>
      </c>
      <c r="P14" s="383"/>
      <c r="Q14" s="394"/>
      <c r="R14" s="394"/>
    </row>
    <row r="15" spans="1:18" ht="18">
      <c r="A15" s="193"/>
      <c r="B15" s="166" t="s">
        <v>20</v>
      </c>
      <c r="C15" s="395">
        <f>-290-1</f>
        <v>-291</v>
      </c>
      <c r="D15" s="395">
        <v>-315</v>
      </c>
      <c r="E15" s="395">
        <v>-299</v>
      </c>
      <c r="F15" s="395">
        <v>-314</v>
      </c>
      <c r="G15" s="395">
        <v>-318</v>
      </c>
      <c r="H15" s="395">
        <v>-328</v>
      </c>
      <c r="I15" s="395">
        <v>-293</v>
      </c>
      <c r="J15" s="395">
        <v>-291</v>
      </c>
      <c r="K15" s="385"/>
      <c r="L15" s="224">
        <v>-606</v>
      </c>
      <c r="M15" s="224">
        <v>-613</v>
      </c>
      <c r="N15" s="395">
        <v>-645</v>
      </c>
      <c r="O15" s="395">
        <v>-583</v>
      </c>
      <c r="P15" s="383"/>
    </row>
    <row r="16" spans="1:18" s="143" customFormat="1" ht="18">
      <c r="A16" s="290"/>
      <c r="B16" s="396" t="s">
        <v>50</v>
      </c>
      <c r="C16" s="397">
        <f>460-4</f>
        <v>456</v>
      </c>
      <c r="D16" s="397">
        <v>428</v>
      </c>
      <c r="E16" s="397">
        <f>442-4</f>
        <v>438</v>
      </c>
      <c r="F16" s="397">
        <v>400</v>
      </c>
      <c r="G16" s="397">
        <v>439</v>
      </c>
      <c r="H16" s="397">
        <v>394</v>
      </c>
      <c r="I16" s="397">
        <v>440</v>
      </c>
      <c r="J16" s="397">
        <v>355</v>
      </c>
      <c r="K16" s="189"/>
      <c r="L16" s="398">
        <v>884</v>
      </c>
      <c r="M16" s="398">
        <v>838</v>
      </c>
      <c r="N16" s="397">
        <v>833</v>
      </c>
      <c r="O16" s="397">
        <v>795</v>
      </c>
      <c r="P16" s="383"/>
      <c r="Q16" s="220"/>
      <c r="R16" s="220"/>
    </row>
    <row r="17" spans="1:18" s="143" customFormat="1" ht="18">
      <c r="A17" s="299"/>
      <c r="B17" s="180"/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3"/>
      <c r="Q17" s="220"/>
      <c r="R17" s="220"/>
    </row>
    <row r="18" spans="1:18" s="143" customFormat="1" ht="18">
      <c r="B18" s="399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3"/>
      <c r="Q18" s="220"/>
      <c r="R18" s="220"/>
    </row>
    <row r="19" spans="1:18" s="143" customFormat="1" ht="18">
      <c r="A19" s="305" t="s">
        <v>70</v>
      </c>
      <c r="B19" s="400"/>
      <c r="C19" s="401"/>
      <c r="D19" s="401"/>
      <c r="E19" s="402"/>
      <c r="F19" s="401"/>
      <c r="G19" s="402"/>
      <c r="H19" s="401"/>
      <c r="I19" s="401"/>
      <c r="J19" s="401"/>
      <c r="K19" s="381"/>
      <c r="L19" s="402"/>
      <c r="M19" s="402"/>
      <c r="N19" s="402"/>
      <c r="O19" s="401"/>
      <c r="P19" s="383"/>
      <c r="Q19" s="220"/>
      <c r="R19" s="220"/>
    </row>
    <row r="20" spans="1:18" s="143" customFormat="1" ht="18">
      <c r="A20" s="198"/>
      <c r="B20" s="403" t="s">
        <v>53</v>
      </c>
      <c r="C20" s="404">
        <f>889+2</f>
        <v>891</v>
      </c>
      <c r="D20" s="191">
        <v>979</v>
      </c>
      <c r="E20" s="191">
        <f>889+3</f>
        <v>892</v>
      </c>
      <c r="F20" s="191">
        <v>972</v>
      </c>
      <c r="G20" s="191">
        <v>915</v>
      </c>
      <c r="H20" s="191">
        <v>905</v>
      </c>
      <c r="I20" s="191">
        <v>864</v>
      </c>
      <c r="J20" s="191">
        <v>851</v>
      </c>
      <c r="K20" s="177"/>
      <c r="L20" s="191">
        <v>1870</v>
      </c>
      <c r="M20" s="191">
        <v>1864</v>
      </c>
      <c r="N20" s="191">
        <v>1820</v>
      </c>
      <c r="O20" s="191">
        <v>1715</v>
      </c>
      <c r="P20" s="383"/>
      <c r="Q20" s="220"/>
      <c r="R20" s="220"/>
    </row>
    <row r="21" spans="1:18" s="327" customFormat="1" ht="18.75">
      <c r="A21" s="318"/>
      <c r="B21" s="405" t="s">
        <v>54</v>
      </c>
      <c r="C21" s="406">
        <f>624+1</f>
        <v>625</v>
      </c>
      <c r="D21" s="407">
        <v>639</v>
      </c>
      <c r="E21" s="407">
        <f>638+2</f>
        <v>640</v>
      </c>
      <c r="F21" s="407">
        <v>659</v>
      </c>
      <c r="G21" s="407">
        <v>666</v>
      </c>
      <c r="H21" s="407">
        <v>627</v>
      </c>
      <c r="I21" s="407">
        <v>601</v>
      </c>
      <c r="J21" s="407">
        <v>569</v>
      </c>
      <c r="K21" s="408"/>
      <c r="L21" s="407">
        <v>1264</v>
      </c>
      <c r="M21" s="407">
        <v>1299</v>
      </c>
      <c r="N21" s="407">
        <v>1293</v>
      </c>
      <c r="O21" s="407">
        <v>1170</v>
      </c>
      <c r="P21" s="383"/>
      <c r="Q21" s="220"/>
      <c r="R21" s="220"/>
    </row>
    <row r="22" spans="1:18" s="327" customFormat="1" ht="18.75">
      <c r="A22" s="318"/>
      <c r="B22" s="405" t="s">
        <v>71</v>
      </c>
      <c r="C22" s="409">
        <v>266</v>
      </c>
      <c r="D22" s="410">
        <v>340</v>
      </c>
      <c r="E22" s="410">
        <f>251+1</f>
        <v>252</v>
      </c>
      <c r="F22" s="410">
        <v>313</v>
      </c>
      <c r="G22" s="410">
        <v>249</v>
      </c>
      <c r="H22" s="410">
        <v>278</v>
      </c>
      <c r="I22" s="410">
        <v>263</v>
      </c>
      <c r="J22" s="410">
        <v>282</v>
      </c>
      <c r="K22" s="408"/>
      <c r="L22" s="407">
        <v>606</v>
      </c>
      <c r="M22" s="407">
        <v>564</v>
      </c>
      <c r="N22" s="410">
        <v>527</v>
      </c>
      <c r="O22" s="410">
        <v>544</v>
      </c>
      <c r="P22" s="383"/>
      <c r="Q22" s="220"/>
      <c r="R22" s="220"/>
    </row>
    <row r="23" spans="1:18" s="327" customFormat="1" ht="21">
      <c r="A23" s="318"/>
      <c r="B23" s="411" t="s">
        <v>72</v>
      </c>
      <c r="C23" s="412">
        <f>663-4</f>
        <v>659</v>
      </c>
      <c r="D23" s="413">
        <v>668</v>
      </c>
      <c r="E23" s="413">
        <f>655-4</f>
        <v>651</v>
      </c>
      <c r="F23" s="413">
        <v>653</v>
      </c>
      <c r="G23" s="413">
        <v>641</v>
      </c>
      <c r="H23" s="413">
        <v>662</v>
      </c>
      <c r="I23" s="413">
        <v>653</v>
      </c>
      <c r="J23" s="413">
        <v>647</v>
      </c>
      <c r="K23" s="177"/>
      <c r="L23" s="191">
        <v>1327</v>
      </c>
      <c r="M23" s="191">
        <v>1304</v>
      </c>
      <c r="N23" s="413">
        <v>1303</v>
      </c>
      <c r="O23" s="413">
        <v>1300</v>
      </c>
      <c r="P23" s="383"/>
      <c r="Q23" s="220"/>
      <c r="R23" s="220"/>
    </row>
    <row r="24" spans="1:18" s="327" customFormat="1" ht="21">
      <c r="A24" s="318"/>
      <c r="B24" s="403" t="s">
        <v>73</v>
      </c>
      <c r="C24" s="409">
        <v>183</v>
      </c>
      <c r="D24" s="414">
        <v>160</v>
      </c>
      <c r="E24" s="414">
        <v>132</v>
      </c>
      <c r="F24" s="414">
        <v>151</v>
      </c>
      <c r="G24" s="414">
        <v>121</v>
      </c>
      <c r="H24" s="414">
        <v>167</v>
      </c>
      <c r="I24" s="414">
        <v>137</v>
      </c>
      <c r="J24" s="414">
        <v>135</v>
      </c>
      <c r="K24" s="415"/>
      <c r="L24" s="416">
        <v>343</v>
      </c>
      <c r="M24" s="416">
        <v>283</v>
      </c>
      <c r="N24" s="414">
        <v>287</v>
      </c>
      <c r="O24" s="414">
        <v>272</v>
      </c>
      <c r="P24" s="383"/>
      <c r="Q24" s="331"/>
      <c r="R24" s="331"/>
    </row>
    <row r="25" spans="1:18" s="143" customFormat="1" ht="18">
      <c r="A25" s="198"/>
      <c r="B25" s="417" t="s">
        <v>36</v>
      </c>
      <c r="C25" s="412">
        <v>111</v>
      </c>
      <c r="D25" s="413">
        <v>106</v>
      </c>
      <c r="E25" s="413">
        <f>104-1</f>
        <v>103</v>
      </c>
      <c r="F25" s="413">
        <v>98</v>
      </c>
      <c r="G25" s="413">
        <v>93</v>
      </c>
      <c r="H25" s="413">
        <v>90</v>
      </c>
      <c r="I25" s="413">
        <v>87</v>
      </c>
      <c r="J25" s="413">
        <v>83</v>
      </c>
      <c r="K25" s="177"/>
      <c r="L25" s="191">
        <v>217</v>
      </c>
      <c r="M25" s="191">
        <v>201</v>
      </c>
      <c r="N25" s="413">
        <v>183</v>
      </c>
      <c r="O25" s="413">
        <v>170</v>
      </c>
      <c r="P25" s="383"/>
      <c r="Q25" s="141"/>
      <c r="R25" s="141"/>
    </row>
    <row r="26" spans="1:18" s="143" customFormat="1" ht="21">
      <c r="A26" s="198"/>
      <c r="B26" s="417" t="s">
        <v>74</v>
      </c>
      <c r="C26" s="412">
        <f>79</f>
        <v>79</v>
      </c>
      <c r="D26" s="413">
        <v>74</v>
      </c>
      <c r="E26" s="413">
        <f>68+2</f>
        <v>70</v>
      </c>
      <c r="F26" s="413">
        <v>70</v>
      </c>
      <c r="G26" s="413">
        <v>68</v>
      </c>
      <c r="H26" s="413">
        <v>65</v>
      </c>
      <c r="I26" s="413">
        <v>62</v>
      </c>
      <c r="J26" s="413">
        <v>60</v>
      </c>
      <c r="K26" s="177"/>
      <c r="L26" s="191">
        <v>153</v>
      </c>
      <c r="M26" s="191">
        <v>140</v>
      </c>
      <c r="N26" s="413">
        <v>133</v>
      </c>
      <c r="O26" s="413">
        <v>122</v>
      </c>
      <c r="P26" s="383"/>
      <c r="Q26" s="220"/>
      <c r="R26" s="220"/>
    </row>
    <row r="27" spans="1:18" s="357" customFormat="1" ht="21.75" thickBot="1">
      <c r="A27" s="349"/>
      <c r="B27" s="403" t="s">
        <v>75</v>
      </c>
      <c r="C27" s="412">
        <f>34</f>
        <v>34</v>
      </c>
      <c r="D27" s="413">
        <v>43</v>
      </c>
      <c r="E27" s="413">
        <v>45</v>
      </c>
      <c r="F27" s="413">
        <v>54</v>
      </c>
      <c r="G27" s="413">
        <v>39</v>
      </c>
      <c r="H27" s="413">
        <v>43</v>
      </c>
      <c r="I27" s="413">
        <v>56</v>
      </c>
      <c r="J27" s="413">
        <v>54</v>
      </c>
      <c r="K27" s="418"/>
      <c r="L27" s="413">
        <v>78</v>
      </c>
      <c r="M27" s="413">
        <v>99</v>
      </c>
      <c r="N27" s="413">
        <v>82</v>
      </c>
      <c r="O27" s="413">
        <v>111</v>
      </c>
      <c r="P27" s="383"/>
      <c r="Q27" s="356"/>
      <c r="R27" s="356"/>
    </row>
    <row r="28" spans="1:18" ht="18">
      <c r="A28" s="202"/>
      <c r="B28" s="165"/>
      <c r="C28" s="419">
        <f>1959</f>
        <v>1959</v>
      </c>
      <c r="D28" s="420">
        <v>2030</v>
      </c>
      <c r="E28" s="420">
        <v>1893</v>
      </c>
      <c r="F28" s="420">
        <v>1998</v>
      </c>
      <c r="G28" s="789">
        <v>1877</v>
      </c>
      <c r="H28" s="789">
        <v>1932</v>
      </c>
      <c r="I28" s="789">
        <v>1860</v>
      </c>
      <c r="J28" s="789">
        <v>1831</v>
      </c>
      <c r="K28" s="421"/>
      <c r="L28" s="422">
        <v>3988</v>
      </c>
      <c r="M28" s="422">
        <v>3891</v>
      </c>
      <c r="N28" s="789">
        <v>3808</v>
      </c>
      <c r="O28" s="789">
        <v>3691</v>
      </c>
      <c r="P28" s="383"/>
    </row>
    <row r="29" spans="1:18" ht="18">
      <c r="A29" s="202"/>
      <c r="B29" s="165"/>
      <c r="C29" s="423"/>
      <c r="D29" s="424"/>
      <c r="E29" s="424"/>
      <c r="F29" s="424"/>
      <c r="G29" s="424"/>
      <c r="H29" s="424"/>
      <c r="I29" s="424"/>
      <c r="J29" s="424"/>
      <c r="K29" s="189"/>
      <c r="L29" s="194"/>
      <c r="M29" s="194"/>
      <c r="N29" s="424"/>
      <c r="O29" s="424"/>
      <c r="P29" s="383"/>
    </row>
    <row r="30" spans="1:18" ht="18">
      <c r="A30" s="198" t="s">
        <v>76</v>
      </c>
      <c r="B30" s="425"/>
      <c r="C30" s="426"/>
      <c r="D30" s="427"/>
      <c r="E30" s="427"/>
      <c r="F30" s="427"/>
      <c r="G30" s="427"/>
      <c r="H30" s="427"/>
      <c r="I30" s="427"/>
      <c r="J30" s="427"/>
      <c r="K30" s="219"/>
      <c r="L30" s="218"/>
      <c r="M30" s="218"/>
      <c r="N30" s="427"/>
      <c r="O30" s="427"/>
      <c r="P30" s="383"/>
    </row>
    <row r="31" spans="1:18" ht="18">
      <c r="A31" s="202"/>
      <c r="B31" s="165" t="s">
        <v>77</v>
      </c>
      <c r="C31" s="428">
        <f>469</f>
        <v>469</v>
      </c>
      <c r="D31" s="395">
        <v>516</v>
      </c>
      <c r="E31" s="395">
        <v>398</v>
      </c>
      <c r="F31" s="395">
        <v>483</v>
      </c>
      <c r="G31" s="395">
        <v>382</v>
      </c>
      <c r="H31" s="395">
        <v>462</v>
      </c>
      <c r="I31" s="395">
        <v>444</v>
      </c>
      <c r="J31" s="395">
        <v>469</v>
      </c>
      <c r="K31" s="385"/>
      <c r="L31" s="224">
        <v>984</v>
      </c>
      <c r="M31" s="224">
        <v>881</v>
      </c>
      <c r="N31" s="395">
        <v>844</v>
      </c>
      <c r="O31" s="395">
        <v>913</v>
      </c>
      <c r="P31" s="383"/>
    </row>
    <row r="32" spans="1:18" ht="21">
      <c r="A32" s="202"/>
      <c r="B32" s="165" t="s">
        <v>269</v>
      </c>
      <c r="C32" s="428">
        <v>246</v>
      </c>
      <c r="D32" s="395">
        <v>273</v>
      </c>
      <c r="E32" s="395">
        <v>246</v>
      </c>
      <c r="F32" s="395">
        <v>279</v>
      </c>
      <c r="G32" s="395">
        <v>246</v>
      </c>
      <c r="H32" s="395">
        <v>256</v>
      </c>
      <c r="I32" s="395">
        <v>219</v>
      </c>
      <c r="J32" s="395">
        <v>266</v>
      </c>
      <c r="K32" s="385"/>
      <c r="L32" s="224">
        <v>519</v>
      </c>
      <c r="M32" s="224">
        <v>525</v>
      </c>
      <c r="N32" s="395">
        <v>502</v>
      </c>
      <c r="O32" s="395">
        <v>484</v>
      </c>
      <c r="P32" s="787"/>
    </row>
    <row r="33" spans="1:18" ht="18">
      <c r="A33" s="202"/>
      <c r="B33" s="165" t="s">
        <v>78</v>
      </c>
      <c r="C33" s="428">
        <f>246+2</f>
        <v>248</v>
      </c>
      <c r="D33" s="395">
        <v>236</v>
      </c>
      <c r="E33" s="395">
        <f>257+1</f>
        <v>258</v>
      </c>
      <c r="F33" s="395">
        <v>252</v>
      </c>
      <c r="G33" s="395">
        <v>243</v>
      </c>
      <c r="H33" s="395">
        <v>229</v>
      </c>
      <c r="I33" s="395">
        <v>236</v>
      </c>
      <c r="J33" s="395">
        <v>228</v>
      </c>
      <c r="K33" s="385"/>
      <c r="L33" s="224">
        <v>483</v>
      </c>
      <c r="M33" s="224">
        <v>511</v>
      </c>
      <c r="N33" s="395">
        <v>472</v>
      </c>
      <c r="O33" s="395">
        <v>464</v>
      </c>
      <c r="P33" s="787"/>
    </row>
    <row r="34" spans="1:18" ht="18">
      <c r="A34" s="202"/>
      <c r="B34" s="165" t="s">
        <v>62</v>
      </c>
      <c r="C34" s="428">
        <v>205</v>
      </c>
      <c r="D34" s="395">
        <v>207</v>
      </c>
      <c r="E34" s="395">
        <v>214</v>
      </c>
      <c r="F34" s="395">
        <v>211</v>
      </c>
      <c r="G34" s="395">
        <v>210</v>
      </c>
      <c r="H34" s="395">
        <v>206</v>
      </c>
      <c r="I34" s="395">
        <v>199</v>
      </c>
      <c r="J34" s="395">
        <v>181</v>
      </c>
      <c r="K34" s="385"/>
      <c r="L34" s="224">
        <v>412</v>
      </c>
      <c r="M34" s="224">
        <v>425</v>
      </c>
      <c r="N34" s="395">
        <v>416</v>
      </c>
      <c r="O34" s="395">
        <v>380</v>
      </c>
      <c r="P34" s="383"/>
    </row>
    <row r="35" spans="1:18" ht="21">
      <c r="A35" s="202"/>
      <c r="B35" s="429" t="s">
        <v>79</v>
      </c>
      <c r="C35" s="428">
        <f>80+2</f>
        <v>82</v>
      </c>
      <c r="D35" s="395">
        <v>90</v>
      </c>
      <c r="E35" s="395">
        <f>84+2</f>
        <v>86</v>
      </c>
      <c r="F35" s="395">
        <v>86</v>
      </c>
      <c r="G35" s="395">
        <v>90</v>
      </c>
      <c r="H35" s="395">
        <v>93</v>
      </c>
      <c r="I35" s="395">
        <v>96</v>
      </c>
      <c r="J35" s="395">
        <v>89</v>
      </c>
      <c r="K35" s="385"/>
      <c r="L35" s="224">
        <v>172</v>
      </c>
      <c r="M35" s="224">
        <v>172</v>
      </c>
      <c r="N35" s="395">
        <v>183</v>
      </c>
      <c r="O35" s="395">
        <v>184</v>
      </c>
      <c r="P35" s="383"/>
    </row>
    <row r="36" spans="1:18" ht="18.75" thickBot="1">
      <c r="A36" s="202"/>
      <c r="B36" s="165" t="s">
        <v>38</v>
      </c>
      <c r="C36" s="430">
        <v>5</v>
      </c>
      <c r="D36" s="431">
        <v>6</v>
      </c>
      <c r="E36" s="431">
        <v>13</v>
      </c>
      <c r="F36" s="431">
        <v>1</v>
      </c>
      <c r="G36" s="395">
        <v>13</v>
      </c>
      <c r="H36" s="395">
        <v>-1</v>
      </c>
      <c r="I36" s="395">
        <v>13</v>
      </c>
      <c r="J36" s="395">
        <v>-6</v>
      </c>
      <c r="K36" s="385"/>
      <c r="L36" s="432">
        <v>11</v>
      </c>
      <c r="M36" s="432">
        <v>14</v>
      </c>
      <c r="N36" s="395">
        <v>12</v>
      </c>
      <c r="O36" s="395">
        <v>6</v>
      </c>
      <c r="P36" s="383"/>
    </row>
    <row r="37" spans="1:18" ht="18">
      <c r="A37" s="367"/>
      <c r="B37" s="433"/>
      <c r="C37" s="434">
        <f>1251+3</f>
        <v>1254</v>
      </c>
      <c r="D37" s="435">
        <v>1328</v>
      </c>
      <c r="E37" s="435">
        <f>1210+5</f>
        <v>1215</v>
      </c>
      <c r="F37" s="435">
        <v>1313</v>
      </c>
      <c r="G37" s="790">
        <v>1183</v>
      </c>
      <c r="H37" s="790">
        <v>1246</v>
      </c>
      <c r="I37" s="790">
        <v>1206</v>
      </c>
      <c r="J37" s="790">
        <v>1226</v>
      </c>
      <c r="K37" s="381"/>
      <c r="L37" s="436">
        <v>2582</v>
      </c>
      <c r="M37" s="436">
        <v>2527</v>
      </c>
      <c r="N37" s="790">
        <v>2429</v>
      </c>
      <c r="O37" s="790">
        <v>2432</v>
      </c>
      <c r="P37" s="383"/>
    </row>
    <row r="38" spans="1:18" ht="18">
      <c r="A38" s="139"/>
      <c r="B38" s="166"/>
      <c r="C38" s="381"/>
      <c r="D38" s="381"/>
      <c r="E38" s="381"/>
      <c r="F38" s="437"/>
      <c r="G38" s="437"/>
      <c r="H38" s="437"/>
      <c r="I38" s="437"/>
      <c r="J38" s="437"/>
      <c r="K38" s="437"/>
      <c r="L38" s="381"/>
      <c r="M38" s="381"/>
      <c r="N38" s="228"/>
    </row>
    <row r="39" spans="1:18" ht="18">
      <c r="A39" s="139"/>
      <c r="B39" s="166"/>
      <c r="C39" s="381"/>
      <c r="D39" s="381"/>
      <c r="E39" s="381"/>
      <c r="F39" s="437"/>
      <c r="G39" s="437"/>
      <c r="H39" s="437"/>
      <c r="I39" s="437"/>
      <c r="J39" s="437"/>
      <c r="K39" s="437"/>
      <c r="L39" s="381"/>
      <c r="M39" s="381"/>
      <c r="N39" s="228"/>
    </row>
    <row r="40" spans="1:18" ht="18">
      <c r="A40" s="139"/>
      <c r="B40" s="136" t="s">
        <v>80</v>
      </c>
      <c r="C40" s="381"/>
      <c r="D40" s="381"/>
      <c r="E40" s="381"/>
      <c r="F40" s="437"/>
      <c r="G40" s="437"/>
      <c r="H40" s="437"/>
      <c r="I40" s="437"/>
      <c r="J40" s="437"/>
      <c r="K40" s="437"/>
      <c r="L40" s="381"/>
      <c r="M40" s="381"/>
      <c r="N40" s="228"/>
    </row>
    <row r="41" spans="1:18" ht="18">
      <c r="A41" s="139"/>
      <c r="B41" s="136" t="s">
        <v>81</v>
      </c>
      <c r="C41" s="381"/>
      <c r="D41" s="381"/>
      <c r="E41" s="381"/>
      <c r="F41" s="437"/>
      <c r="G41" s="437"/>
      <c r="H41" s="437"/>
      <c r="I41" s="437"/>
      <c r="J41" s="437"/>
      <c r="K41" s="437"/>
      <c r="L41" s="228"/>
      <c r="M41" s="228"/>
      <c r="N41" s="228"/>
    </row>
    <row r="42" spans="1:18" ht="18">
      <c r="A42" s="139"/>
      <c r="B42" s="136" t="s">
        <v>264</v>
      </c>
      <c r="C42" s="381"/>
      <c r="D42" s="381"/>
      <c r="E42" s="381"/>
      <c r="F42" s="437"/>
      <c r="G42" s="437"/>
      <c r="H42" s="437"/>
      <c r="I42" s="437"/>
      <c r="J42" s="437"/>
      <c r="K42" s="437"/>
      <c r="L42" s="228"/>
      <c r="M42" s="228"/>
      <c r="N42" s="438"/>
    </row>
    <row r="43" spans="1:18" ht="18">
      <c r="A43" s="439"/>
      <c r="B43" s="136" t="s">
        <v>265</v>
      </c>
      <c r="C43" s="381"/>
      <c r="D43" s="381"/>
      <c r="E43" s="381"/>
      <c r="F43" s="437"/>
      <c r="G43" s="437"/>
      <c r="H43" s="437"/>
      <c r="I43" s="437"/>
      <c r="J43" s="437"/>
      <c r="K43" s="437"/>
      <c r="L43" s="228"/>
      <c r="M43" s="228"/>
      <c r="N43" s="228"/>
    </row>
    <row r="44" spans="1:18" ht="18">
      <c r="A44" s="139"/>
      <c r="B44" s="136" t="s">
        <v>266</v>
      </c>
      <c r="C44" s="381"/>
      <c r="D44" s="381"/>
      <c r="E44" s="381"/>
      <c r="F44" s="437"/>
      <c r="G44" s="437"/>
      <c r="H44" s="437"/>
      <c r="I44" s="437"/>
      <c r="J44" s="437"/>
      <c r="K44" s="437"/>
      <c r="L44" s="228"/>
      <c r="M44" s="228"/>
      <c r="N44" s="228"/>
    </row>
    <row r="45" spans="1:18" s="209" customFormat="1" ht="18">
      <c r="A45" s="440"/>
      <c r="B45" s="136" t="s">
        <v>82</v>
      </c>
      <c r="C45" s="381"/>
      <c r="D45" s="381"/>
      <c r="E45" s="381"/>
      <c r="F45" s="437"/>
      <c r="G45" s="437"/>
      <c r="H45" s="437"/>
      <c r="I45" s="437"/>
      <c r="J45" s="437"/>
      <c r="K45" s="437"/>
      <c r="L45" s="438"/>
      <c r="M45" s="438"/>
      <c r="N45" s="438"/>
    </row>
    <row r="46" spans="1:18" s="239" customFormat="1" ht="18">
      <c r="A46" s="238"/>
      <c r="B46" s="136" t="s">
        <v>267</v>
      </c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209"/>
      <c r="P46" s="209"/>
      <c r="Q46" s="209"/>
      <c r="R46" s="209"/>
    </row>
    <row r="47" spans="1:18" s="239" customFormat="1" ht="18">
      <c r="A47" s="238"/>
      <c r="B47" s="136" t="s">
        <v>268</v>
      </c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209"/>
      <c r="P47" s="209"/>
      <c r="Q47" s="209"/>
      <c r="R47" s="209"/>
    </row>
    <row r="48" spans="1:18" s="239" customFormat="1" ht="18">
      <c r="A48" s="238"/>
      <c r="B48" s="137"/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209"/>
      <c r="P48" s="209"/>
      <c r="Q48" s="209"/>
      <c r="R48" s="209"/>
    </row>
    <row r="49" spans="3:18" ht="18">
      <c r="C49" s="163"/>
      <c r="D49" s="163"/>
      <c r="E49" s="163"/>
      <c r="N49" s="137"/>
      <c r="O49" s="137"/>
      <c r="P49" s="137"/>
      <c r="Q49" s="137"/>
      <c r="R49" s="137"/>
    </row>
    <row r="50" spans="3:18" ht="18">
      <c r="C50" s="232"/>
      <c r="D50" s="232"/>
      <c r="E50" s="232"/>
      <c r="N50" s="137"/>
      <c r="O50" s="137"/>
      <c r="P50" s="137"/>
      <c r="Q50" s="137"/>
      <c r="R50" s="137"/>
    </row>
    <row r="51" spans="3:18" ht="18">
      <c r="C51" s="163"/>
      <c r="D51" s="163"/>
      <c r="E51" s="163"/>
      <c r="N51" s="137"/>
      <c r="O51" s="137"/>
      <c r="P51" s="137"/>
      <c r="Q51" s="137"/>
      <c r="R51" s="137"/>
    </row>
    <row r="52" spans="3:18" ht="18">
      <c r="C52" s="232"/>
      <c r="D52" s="232"/>
      <c r="E52" s="232"/>
      <c r="N52" s="137"/>
      <c r="O52" s="137"/>
      <c r="P52" s="137"/>
      <c r="Q52" s="137"/>
      <c r="R52" s="137"/>
    </row>
    <row r="53" spans="3:18" ht="18">
      <c r="C53" s="163"/>
      <c r="D53" s="163"/>
      <c r="E53" s="163"/>
      <c r="N53" s="137"/>
      <c r="O53" s="137"/>
      <c r="P53" s="137"/>
      <c r="Q53" s="137"/>
      <c r="R53" s="137"/>
    </row>
  </sheetData>
  <mergeCells count="4">
    <mergeCell ref="C5:D5"/>
    <mergeCell ref="E5:F5"/>
    <mergeCell ref="G5:H5"/>
    <mergeCell ref="I5:J5"/>
  </mergeCells>
  <pageMargins left="0.70866141732283505" right="0.70866141732283505" top="0.74803149606299202" bottom="0.74803149606299202" header="0.31496062992126" footer="0.31496062992126"/>
  <pageSetup paperSize="9" scale="53" orientation="landscape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M54"/>
  <sheetViews>
    <sheetView view="pageBreakPreview" zoomScale="60" zoomScaleNormal="70" workbookViewId="0">
      <pane xSplit="2" ySplit="7" topLeftCell="C8" activePane="bottomRight" state="frozen"/>
      <selection pane="topRight" activeCell="C53" sqref="C53"/>
      <selection pane="bottomLeft" activeCell="C53" sqref="C53"/>
      <selection pane="bottomRight" activeCell="M52" sqref="M52"/>
    </sheetView>
  </sheetViews>
  <sheetFormatPr defaultColWidth="9.28515625" defaultRowHeight="16.5"/>
  <cols>
    <col min="1" max="1" width="1.7109375" style="2" customWidth="1"/>
    <col min="2" max="2" width="77.7109375" style="2" customWidth="1"/>
    <col min="3" max="5" width="20" style="2" customWidth="1"/>
    <col min="6" max="6" width="13" style="2" bestFit="1" customWidth="1"/>
    <col min="7" max="8" width="15.85546875" style="2" customWidth="1"/>
    <col min="9" max="13" width="9.28515625" style="4"/>
    <col min="14" max="16384" width="9.28515625" style="2"/>
  </cols>
  <sheetData>
    <row r="1" spans="1:13" ht="21" customHeight="1">
      <c r="A1" s="1" t="s">
        <v>0</v>
      </c>
    </row>
    <row r="2" spans="1:13" ht="8.25" customHeight="1">
      <c r="C2" s="4"/>
      <c r="D2" s="4"/>
      <c r="E2" s="4"/>
    </row>
    <row r="3" spans="1:13" s="37" customFormat="1" ht="18">
      <c r="A3" s="35" t="s">
        <v>83</v>
      </c>
      <c r="B3" s="36"/>
      <c r="C3" s="4"/>
      <c r="D3" s="4"/>
      <c r="E3" s="4"/>
      <c r="F3" s="36"/>
      <c r="I3" s="36"/>
      <c r="J3" s="36"/>
      <c r="K3" s="36"/>
      <c r="L3" s="36"/>
      <c r="M3" s="36"/>
    </row>
    <row r="4" spans="1:13" s="4" customFormat="1" ht="11.25" customHeight="1">
      <c r="A4" s="6"/>
      <c r="B4" s="5"/>
      <c r="C4" s="2"/>
      <c r="D4" s="2"/>
      <c r="E4" s="2"/>
    </row>
    <row r="5" spans="1:13" ht="18" customHeight="1">
      <c r="A5" s="76"/>
      <c r="B5" s="74"/>
      <c r="C5" s="812" t="s">
        <v>8</v>
      </c>
      <c r="D5" s="813"/>
      <c r="E5" s="94" t="s">
        <v>84</v>
      </c>
      <c r="G5" s="103"/>
      <c r="H5" s="108" t="s">
        <v>85</v>
      </c>
    </row>
    <row r="6" spans="1:13" ht="17.45" hidden="1" customHeight="1">
      <c r="A6" s="77" t="s">
        <v>5</v>
      </c>
      <c r="B6" s="75"/>
      <c r="C6" s="71"/>
      <c r="D6" s="71"/>
      <c r="E6" s="71"/>
      <c r="G6" s="96"/>
      <c r="H6" s="85"/>
    </row>
    <row r="7" spans="1:13" ht="18">
      <c r="A7" s="97" t="s">
        <v>5</v>
      </c>
      <c r="B7" s="102"/>
      <c r="C7" s="94" t="s">
        <v>6</v>
      </c>
      <c r="D7" s="94" t="s">
        <v>7</v>
      </c>
      <c r="E7" s="94" t="s">
        <v>6</v>
      </c>
      <c r="G7" s="95" t="s">
        <v>8</v>
      </c>
      <c r="H7" s="95" t="s">
        <v>84</v>
      </c>
    </row>
    <row r="8" spans="1:13" ht="18">
      <c r="A8" s="9" t="s">
        <v>9</v>
      </c>
      <c r="B8" s="10"/>
      <c r="C8" s="11"/>
      <c r="D8" s="11"/>
      <c r="E8" s="11"/>
      <c r="G8" s="86"/>
      <c r="H8" s="86"/>
    </row>
    <row r="9" spans="1:13" s="3" customFormat="1" ht="18">
      <c r="A9" s="9"/>
      <c r="B9" s="7" t="s">
        <v>10</v>
      </c>
      <c r="C9" s="32">
        <v>874</v>
      </c>
      <c r="D9" s="32">
        <v>941</v>
      </c>
      <c r="E9" s="32"/>
      <c r="F9" s="90"/>
      <c r="G9" s="32">
        <v>1814</v>
      </c>
      <c r="H9" s="32"/>
      <c r="I9" s="90"/>
      <c r="J9" s="104"/>
      <c r="K9" s="104"/>
      <c r="L9" s="8"/>
      <c r="M9" s="8"/>
    </row>
    <row r="10" spans="1:13" ht="18">
      <c r="A10" s="9"/>
      <c r="B10" s="12" t="s">
        <v>11</v>
      </c>
      <c r="C10" s="22">
        <f>-553-26</f>
        <v>-579</v>
      </c>
      <c r="D10" s="22">
        <v>-648</v>
      </c>
      <c r="E10" s="22"/>
      <c r="F10" s="91"/>
      <c r="G10" s="22">
        <v>-1227</v>
      </c>
      <c r="H10" s="22"/>
      <c r="I10" s="90"/>
      <c r="J10" s="104"/>
      <c r="K10" s="104"/>
    </row>
    <row r="11" spans="1:13" ht="18">
      <c r="A11" s="9"/>
      <c r="B11" s="10" t="s">
        <v>12</v>
      </c>
      <c r="C11" s="33">
        <f>321-26</f>
        <v>295</v>
      </c>
      <c r="D11" s="33">
        <v>293</v>
      </c>
      <c r="E11" s="33"/>
      <c r="F11" s="91"/>
      <c r="G11" s="33">
        <v>588</v>
      </c>
      <c r="H11" s="33"/>
      <c r="I11" s="90"/>
      <c r="J11" s="104"/>
      <c r="K11" s="104"/>
    </row>
    <row r="12" spans="1:13" ht="21">
      <c r="A12" s="9"/>
      <c r="B12" s="45" t="s">
        <v>86</v>
      </c>
      <c r="C12" s="22">
        <f>8+26</f>
        <v>34</v>
      </c>
      <c r="D12" s="22">
        <v>34</v>
      </c>
      <c r="E12" s="22"/>
      <c r="F12" s="91"/>
      <c r="G12" s="22">
        <v>67</v>
      </c>
      <c r="H12" s="22"/>
      <c r="I12" s="90"/>
      <c r="J12" s="104"/>
      <c r="K12" s="104"/>
    </row>
    <row r="13" spans="1:13" s="3" customFormat="1" ht="18">
      <c r="A13" s="9"/>
      <c r="B13" s="13" t="s">
        <v>14</v>
      </c>
      <c r="C13" s="32">
        <v>328</v>
      </c>
      <c r="D13" s="32">
        <v>326</v>
      </c>
      <c r="E13" s="32"/>
      <c r="F13" s="90"/>
      <c r="G13" s="32">
        <v>655</v>
      </c>
      <c r="H13" s="32"/>
      <c r="I13" s="90"/>
      <c r="J13" s="104"/>
      <c r="K13" s="104"/>
      <c r="L13" s="8"/>
      <c r="M13" s="8"/>
    </row>
    <row r="14" spans="1:13" s="48" customFormat="1" ht="18.75">
      <c r="A14" s="49"/>
      <c r="B14" s="13" t="s">
        <v>49</v>
      </c>
      <c r="C14" s="58">
        <v>0.376</v>
      </c>
      <c r="D14" s="58">
        <v>0.34699999999999998</v>
      </c>
      <c r="E14" s="58"/>
      <c r="F14" s="89"/>
      <c r="G14" s="58">
        <v>0.36099999999999999</v>
      </c>
      <c r="H14" s="58"/>
      <c r="I14" s="90"/>
      <c r="J14" s="104"/>
      <c r="K14" s="104"/>
      <c r="L14" s="105"/>
      <c r="M14" s="105"/>
    </row>
    <row r="15" spans="1:13" ht="18">
      <c r="A15" s="14"/>
      <c r="B15" s="10" t="s">
        <v>20</v>
      </c>
      <c r="C15" s="25">
        <v>-155</v>
      </c>
      <c r="D15" s="25">
        <v>-169</v>
      </c>
      <c r="E15" s="25"/>
      <c r="F15" s="91"/>
      <c r="G15" s="25">
        <v>-324</v>
      </c>
      <c r="H15" s="25"/>
      <c r="I15" s="90"/>
      <c r="J15" s="104"/>
      <c r="K15" s="104"/>
    </row>
    <row r="16" spans="1:13" s="3" customFormat="1" ht="18">
      <c r="A16" s="31"/>
      <c r="B16" s="99" t="s">
        <v>50</v>
      </c>
      <c r="C16" s="113">
        <v>173</v>
      </c>
      <c r="D16" s="113">
        <v>158</v>
      </c>
      <c r="E16" s="113"/>
      <c r="F16" s="91"/>
      <c r="G16" s="113">
        <v>331</v>
      </c>
      <c r="H16" s="113"/>
      <c r="I16" s="90"/>
      <c r="J16" s="104"/>
      <c r="K16" s="104"/>
      <c r="L16" s="8"/>
      <c r="M16" s="8"/>
    </row>
    <row r="17" spans="1:13" s="3" customFormat="1" ht="18">
      <c r="A17" s="100"/>
      <c r="B17" s="13"/>
      <c r="C17" s="30"/>
      <c r="D17" s="30"/>
      <c r="E17" s="30"/>
      <c r="F17" s="91"/>
      <c r="G17" s="30"/>
      <c r="H17" s="30"/>
      <c r="I17" s="90"/>
      <c r="J17" s="8"/>
      <c r="K17" s="8"/>
      <c r="L17" s="8"/>
      <c r="M17" s="8"/>
    </row>
    <row r="18" spans="1:13" s="3" customFormat="1" ht="18">
      <c r="C18" s="30"/>
      <c r="D18" s="30"/>
      <c r="E18" s="30"/>
      <c r="F18" s="91"/>
      <c r="G18" s="30"/>
      <c r="H18" s="30"/>
      <c r="I18" s="90"/>
      <c r="J18" s="8"/>
      <c r="K18" s="8"/>
      <c r="L18" s="8"/>
      <c r="M18" s="8"/>
    </row>
    <row r="19" spans="1:13" s="3" customFormat="1" ht="18">
      <c r="A19" s="98" t="s">
        <v>87</v>
      </c>
      <c r="B19" s="125"/>
      <c r="C19" s="123"/>
      <c r="D19" s="123"/>
      <c r="E19" s="123"/>
      <c r="F19" s="121"/>
      <c r="G19" s="15"/>
      <c r="H19" s="15"/>
      <c r="I19" s="90"/>
      <c r="J19" s="8"/>
      <c r="K19" s="8"/>
      <c r="L19" s="8"/>
      <c r="M19" s="8"/>
    </row>
    <row r="20" spans="1:13" s="3" customFormat="1" ht="18">
      <c r="A20" s="16"/>
      <c r="B20" s="122" t="s">
        <v>53</v>
      </c>
      <c r="C20" s="29">
        <v>592</v>
      </c>
      <c r="D20" s="29">
        <v>658</v>
      </c>
      <c r="E20" s="29"/>
      <c r="F20" s="124"/>
      <c r="G20" s="29">
        <v>1250</v>
      </c>
      <c r="H20" s="29"/>
      <c r="I20" s="90"/>
      <c r="J20" s="104"/>
      <c r="K20" s="104"/>
      <c r="L20" s="8"/>
      <c r="M20" s="8"/>
    </row>
    <row r="21" spans="1:13" s="56" customFormat="1" ht="18.75">
      <c r="A21" s="57"/>
      <c r="B21" s="53" t="s">
        <v>54</v>
      </c>
      <c r="C21" s="47">
        <v>422</v>
      </c>
      <c r="D21" s="47">
        <v>431</v>
      </c>
      <c r="E21" s="47"/>
      <c r="F21" s="90"/>
      <c r="G21" s="47">
        <v>852</v>
      </c>
      <c r="H21" s="47"/>
      <c r="I21" s="90"/>
      <c r="J21" s="104"/>
      <c r="K21" s="104"/>
      <c r="L21" s="106"/>
      <c r="M21" s="106"/>
    </row>
    <row r="22" spans="1:13" s="56" customFormat="1" ht="18.75">
      <c r="A22" s="57"/>
      <c r="B22" s="53" t="s">
        <v>71</v>
      </c>
      <c r="C22" s="47">
        <v>170</v>
      </c>
      <c r="D22" s="47">
        <v>227</v>
      </c>
      <c r="E22" s="47"/>
      <c r="F22" s="90"/>
      <c r="G22" s="47">
        <v>397</v>
      </c>
      <c r="H22" s="47"/>
      <c r="I22" s="90"/>
      <c r="J22" s="104"/>
      <c r="K22" s="104"/>
      <c r="L22" s="106"/>
      <c r="M22" s="106"/>
    </row>
    <row r="23" spans="1:13" s="56" customFormat="1" ht="21.75">
      <c r="A23" s="57"/>
      <c r="B23" s="53" t="s">
        <v>88</v>
      </c>
      <c r="C23" s="47">
        <v>1</v>
      </c>
      <c r="D23" s="34" t="s">
        <v>89</v>
      </c>
      <c r="E23" s="34"/>
      <c r="F23" s="90"/>
      <c r="G23" s="47">
        <v>1</v>
      </c>
      <c r="H23" s="47"/>
      <c r="I23" s="90"/>
      <c r="J23" s="104"/>
      <c r="K23" s="104"/>
      <c r="L23" s="106"/>
      <c r="M23" s="106"/>
    </row>
    <row r="24" spans="1:13" s="3" customFormat="1" ht="21">
      <c r="A24" s="16"/>
      <c r="B24" s="45" t="s">
        <v>90</v>
      </c>
      <c r="C24" s="29">
        <v>138</v>
      </c>
      <c r="D24" s="29">
        <v>140</v>
      </c>
      <c r="E24" s="29"/>
      <c r="F24" s="90"/>
      <c r="G24" s="29">
        <v>278</v>
      </c>
      <c r="H24" s="29"/>
      <c r="I24" s="91"/>
      <c r="J24" s="107"/>
      <c r="K24" s="107"/>
      <c r="L24" s="4"/>
      <c r="M24" s="4"/>
    </row>
    <row r="25" spans="1:13" s="3" customFormat="1" ht="18">
      <c r="A25" s="16"/>
      <c r="B25" s="45" t="s">
        <v>91</v>
      </c>
      <c r="C25" s="29">
        <v>74</v>
      </c>
      <c r="D25" s="29">
        <v>68</v>
      </c>
      <c r="E25" s="29"/>
      <c r="F25" s="90"/>
      <c r="G25" s="29">
        <v>142</v>
      </c>
      <c r="H25" s="29"/>
      <c r="I25" s="90"/>
      <c r="J25" s="104"/>
      <c r="K25" s="104"/>
      <c r="L25" s="8"/>
      <c r="M25" s="8"/>
    </row>
    <row r="26" spans="1:13" s="3" customFormat="1" ht="18">
      <c r="A26" s="16"/>
      <c r="B26" s="45" t="s">
        <v>36</v>
      </c>
      <c r="C26" s="29">
        <v>48</v>
      </c>
      <c r="D26" s="29">
        <v>47</v>
      </c>
      <c r="E26" s="29"/>
      <c r="F26" s="90"/>
      <c r="G26" s="29">
        <v>95</v>
      </c>
      <c r="H26" s="29"/>
      <c r="I26" s="90"/>
      <c r="J26" s="104"/>
      <c r="K26" s="104"/>
      <c r="L26" s="8"/>
      <c r="M26" s="8"/>
    </row>
    <row r="27" spans="1:13" s="40" customFormat="1" ht="21.75" thickBot="1">
      <c r="A27" s="39"/>
      <c r="B27" s="44" t="s">
        <v>92</v>
      </c>
      <c r="C27" s="17">
        <v>21</v>
      </c>
      <c r="D27" s="17">
        <v>28</v>
      </c>
      <c r="E27" s="17"/>
      <c r="F27" s="90"/>
      <c r="G27" s="17">
        <v>50</v>
      </c>
      <c r="H27" s="17"/>
      <c r="I27" s="90"/>
      <c r="J27" s="104"/>
      <c r="K27" s="104"/>
      <c r="L27" s="84"/>
      <c r="M27" s="84"/>
    </row>
    <row r="28" spans="1:13" ht="18">
      <c r="A28" s="18"/>
      <c r="B28" s="46"/>
      <c r="C28" s="62">
        <v>874</v>
      </c>
      <c r="D28" s="62">
        <v>941</v>
      </c>
      <c r="E28" s="62"/>
      <c r="F28" s="90"/>
      <c r="G28" s="62">
        <v>1814</v>
      </c>
      <c r="H28" s="62"/>
      <c r="I28" s="90"/>
      <c r="J28" s="104"/>
      <c r="K28" s="104"/>
    </row>
    <row r="29" spans="1:13" ht="18">
      <c r="A29" s="18"/>
      <c r="B29" s="46"/>
      <c r="C29" s="27"/>
      <c r="D29" s="27"/>
      <c r="E29" s="27"/>
      <c r="F29" s="90"/>
      <c r="G29" s="27"/>
      <c r="H29" s="27"/>
      <c r="I29" s="90"/>
    </row>
    <row r="30" spans="1:13" ht="18">
      <c r="A30" s="16" t="s">
        <v>93</v>
      </c>
      <c r="B30" s="43"/>
      <c r="C30" s="28"/>
      <c r="D30" s="28"/>
      <c r="E30" s="28"/>
      <c r="F30" s="90"/>
      <c r="G30" s="28"/>
      <c r="H30" s="28"/>
      <c r="I30" s="90"/>
    </row>
    <row r="31" spans="1:13" ht="21">
      <c r="A31" s="18"/>
      <c r="B31" s="46" t="s">
        <v>94</v>
      </c>
      <c r="C31" s="25">
        <v>128</v>
      </c>
      <c r="D31" s="25">
        <v>147</v>
      </c>
      <c r="E31" s="25"/>
      <c r="F31" s="90"/>
      <c r="G31" s="25">
        <v>274</v>
      </c>
      <c r="H31" s="25"/>
      <c r="I31" s="90"/>
      <c r="J31" s="104"/>
      <c r="K31" s="104"/>
    </row>
    <row r="32" spans="1:13" ht="18">
      <c r="A32" s="18"/>
      <c r="B32" s="46" t="s">
        <v>62</v>
      </c>
      <c r="C32" s="25">
        <v>79</v>
      </c>
      <c r="D32" s="25">
        <v>83</v>
      </c>
      <c r="E32" s="25"/>
      <c r="F32" s="90"/>
      <c r="G32" s="25">
        <v>161</v>
      </c>
      <c r="H32" s="25"/>
      <c r="I32" s="90"/>
      <c r="J32" s="104"/>
      <c r="K32" s="104"/>
    </row>
    <row r="33" spans="1:13" ht="18">
      <c r="A33" s="18"/>
      <c r="B33" s="46" t="s">
        <v>78</v>
      </c>
      <c r="C33" s="25">
        <v>107</v>
      </c>
      <c r="D33" s="25">
        <v>97</v>
      </c>
      <c r="E33" s="25"/>
      <c r="F33" s="90"/>
      <c r="G33" s="25">
        <v>204</v>
      </c>
      <c r="H33" s="25"/>
      <c r="I33" s="90"/>
      <c r="J33" s="104"/>
      <c r="K33" s="104"/>
    </row>
    <row r="34" spans="1:13" ht="18">
      <c r="A34" s="18"/>
      <c r="B34" s="46" t="s">
        <v>77</v>
      </c>
      <c r="C34" s="25">
        <v>231</v>
      </c>
      <c r="D34" s="25">
        <v>279</v>
      </c>
      <c r="E34" s="25"/>
      <c r="F34" s="90"/>
      <c r="G34" s="25">
        <v>510</v>
      </c>
      <c r="H34" s="25"/>
      <c r="I34" s="90"/>
      <c r="J34" s="104"/>
      <c r="K34" s="104"/>
    </row>
    <row r="35" spans="1:13" s="4" customFormat="1" ht="18" hidden="1" customHeight="1">
      <c r="A35" s="18"/>
      <c r="B35" s="46"/>
      <c r="C35" s="24"/>
      <c r="D35" s="24"/>
      <c r="E35" s="24"/>
      <c r="F35" s="90"/>
      <c r="G35" s="24"/>
      <c r="H35" s="24"/>
      <c r="I35" s="90"/>
      <c r="J35" s="104"/>
      <c r="K35" s="104"/>
    </row>
    <row r="36" spans="1:13" ht="18">
      <c r="A36" s="18"/>
      <c r="B36" s="46" t="s">
        <v>43</v>
      </c>
      <c r="C36" s="25">
        <v>28</v>
      </c>
      <c r="D36" s="25">
        <v>35</v>
      </c>
      <c r="E36" s="25"/>
      <c r="F36" s="90"/>
      <c r="G36" s="25">
        <v>62</v>
      </c>
      <c r="H36" s="25"/>
      <c r="I36" s="90"/>
      <c r="J36" s="104"/>
      <c r="K36" s="104"/>
    </row>
    <row r="37" spans="1:13" ht="18.75" thickBot="1">
      <c r="A37" s="18"/>
      <c r="B37" s="46" t="s">
        <v>38</v>
      </c>
      <c r="C37" s="26">
        <f>-19+26</f>
        <v>7</v>
      </c>
      <c r="D37" s="26">
        <v>8</v>
      </c>
      <c r="E37" s="26"/>
      <c r="F37" s="90"/>
      <c r="G37" s="26">
        <v>15</v>
      </c>
      <c r="H37" s="26"/>
      <c r="I37" s="90"/>
      <c r="J37" s="104"/>
      <c r="K37" s="104"/>
    </row>
    <row r="38" spans="1:13" ht="18">
      <c r="A38" s="21"/>
      <c r="B38" s="61"/>
      <c r="C38" s="66">
        <f>553+26</f>
        <v>579</v>
      </c>
      <c r="D38" s="66">
        <v>648</v>
      </c>
      <c r="E38" s="66"/>
      <c r="F38" s="90"/>
      <c r="G38" s="66">
        <v>1227</v>
      </c>
      <c r="H38" s="66"/>
      <c r="I38" s="90"/>
      <c r="J38" s="104"/>
      <c r="K38" s="104"/>
    </row>
    <row r="39" spans="1:13" ht="18">
      <c r="A39" s="23"/>
      <c r="B39" s="23"/>
      <c r="C39" s="30"/>
      <c r="D39" s="30"/>
      <c r="E39" s="30"/>
      <c r="F39" s="82"/>
      <c r="G39" s="30"/>
      <c r="H39" s="30"/>
    </row>
    <row r="40" spans="1:13" ht="18">
      <c r="A40" s="23"/>
      <c r="B40" s="109" t="s">
        <v>95</v>
      </c>
      <c r="C40" s="30"/>
      <c r="D40" s="30"/>
      <c r="E40" s="30"/>
      <c r="F40" s="82"/>
      <c r="G40" s="30"/>
      <c r="H40" s="30"/>
    </row>
    <row r="41" spans="1:13" ht="18">
      <c r="A41" s="23"/>
      <c r="B41" s="23"/>
      <c r="C41" s="30"/>
      <c r="D41" s="30"/>
      <c r="E41" s="30"/>
      <c r="F41" s="82"/>
      <c r="G41" s="30"/>
      <c r="H41" s="30"/>
    </row>
    <row r="42" spans="1:13" ht="18">
      <c r="A42" s="23"/>
      <c r="B42" s="83" t="s">
        <v>96</v>
      </c>
      <c r="C42" s="30"/>
      <c r="D42" s="30"/>
      <c r="E42" s="30"/>
      <c r="F42" s="82"/>
      <c r="G42" s="30"/>
      <c r="H42" s="30"/>
    </row>
    <row r="43" spans="1:13" ht="18">
      <c r="A43" s="23"/>
      <c r="B43" s="83" t="s">
        <v>81</v>
      </c>
      <c r="C43" s="73"/>
      <c r="D43" s="73"/>
      <c r="E43" s="73"/>
      <c r="F43" s="82"/>
      <c r="G43" s="4"/>
      <c r="H43" s="4"/>
    </row>
    <row r="44" spans="1:13" ht="18">
      <c r="A44" s="23"/>
      <c r="B44" s="83" t="s">
        <v>97</v>
      </c>
      <c r="C44" s="111"/>
      <c r="D44" s="111"/>
      <c r="E44" s="111"/>
      <c r="F44" s="82"/>
      <c r="G44" s="4"/>
      <c r="H44" s="4"/>
      <c r="I44" s="36"/>
    </row>
    <row r="45" spans="1:13" ht="18">
      <c r="A45" s="72"/>
      <c r="B45" s="83" t="s">
        <v>98</v>
      </c>
      <c r="C45" s="23"/>
      <c r="D45" s="23"/>
      <c r="E45" s="23"/>
    </row>
    <row r="46" spans="1:13" s="36" customFormat="1" ht="18">
      <c r="A46" s="42"/>
      <c r="B46" s="83" t="s">
        <v>99</v>
      </c>
      <c r="C46" s="42"/>
      <c r="D46" s="42"/>
      <c r="E46" s="42"/>
    </row>
    <row r="47" spans="1:13" s="37" customFormat="1" ht="18">
      <c r="A47" s="38"/>
      <c r="B47" s="83" t="s">
        <v>100</v>
      </c>
      <c r="I47" s="36"/>
      <c r="J47" s="36"/>
      <c r="K47" s="36"/>
      <c r="L47" s="36"/>
      <c r="M47" s="36"/>
    </row>
    <row r="48" spans="1:13" s="37" customFormat="1" ht="18">
      <c r="A48" s="38"/>
      <c r="B48" s="83" t="s">
        <v>101</v>
      </c>
      <c r="I48" s="36"/>
      <c r="J48" s="36"/>
      <c r="K48" s="36"/>
      <c r="L48" s="36"/>
      <c r="M48" s="36"/>
    </row>
    <row r="49" spans="2:5" ht="18">
      <c r="B49" s="4"/>
      <c r="C49" s="59"/>
      <c r="D49" s="59"/>
      <c r="E49" s="59"/>
    </row>
    <row r="50" spans="2:5" ht="18">
      <c r="C50" s="10"/>
      <c r="D50" s="10"/>
      <c r="E50" s="10"/>
    </row>
    <row r="51" spans="2:5" ht="18">
      <c r="C51" s="50"/>
      <c r="D51" s="50"/>
      <c r="E51" s="50"/>
    </row>
    <row r="52" spans="2:5" ht="18">
      <c r="C52" s="10"/>
      <c r="D52" s="10"/>
      <c r="E52" s="10"/>
    </row>
    <row r="53" spans="2:5" ht="18">
      <c r="C53" s="50"/>
      <c r="D53" s="50"/>
      <c r="E53" s="50"/>
    </row>
    <row r="54" spans="2:5" ht="18">
      <c r="C54" s="10"/>
      <c r="D54" s="10"/>
      <c r="E54" s="10"/>
    </row>
  </sheetData>
  <mergeCells count="1">
    <mergeCell ref="C5:D5"/>
  </mergeCells>
  <pageMargins left="0.70866141732283505" right="0.70866141732283505" top="0.74803149606299202" bottom="0.74803149606299202" header="0.31496062992126" footer="0.31496062992126"/>
  <pageSetup paperSize="9" scale="56" orientation="landscape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7A14-D741-4610-BF47-9E2197E0D442}">
  <sheetPr>
    <pageSetUpPr fitToPage="1"/>
  </sheetPr>
  <dimension ref="A1:R62"/>
  <sheetViews>
    <sheetView view="pageBreakPreview" zoomScale="70" zoomScaleNormal="100" zoomScaleSheetLayoutView="70" workbookViewId="0">
      <selection activeCell="B1" sqref="B1"/>
    </sheetView>
  </sheetViews>
  <sheetFormatPr defaultColWidth="9.28515625" defaultRowHeight="16.5"/>
  <cols>
    <col min="1" max="1" width="1.7109375" style="137" customWidth="1"/>
    <col min="2" max="2" width="77.42578125" style="137" customWidth="1"/>
    <col min="3" max="6" width="19.28515625" style="137" hidden="1" customWidth="1"/>
    <col min="7" max="8" width="20.5703125" style="137" customWidth="1"/>
    <col min="9" max="10" width="21.5703125" style="137" customWidth="1"/>
    <col min="11" max="11" width="7.85546875" style="137" customWidth="1"/>
    <col min="12" max="13" width="19.140625" style="137" hidden="1" customWidth="1"/>
    <col min="14" max="15" width="19.140625" style="137" customWidth="1"/>
    <col min="16" max="16" width="11.42578125" style="137" customWidth="1"/>
    <col min="17" max="22" width="9.28515625" style="137"/>
    <col min="23" max="23" width="13.85546875" style="137" customWidth="1"/>
    <col min="24" max="16384" width="9.28515625" style="137"/>
  </cols>
  <sheetData>
    <row r="1" spans="1:18" ht="21" customHeight="1">
      <c r="A1" s="140" t="s">
        <v>0</v>
      </c>
      <c r="B1" s="163"/>
    </row>
    <row r="2" spans="1:18" ht="8.25" customHeight="1">
      <c r="A2" s="163"/>
      <c r="B2" s="163"/>
      <c r="C2" s="141"/>
      <c r="D2" s="141"/>
      <c r="E2" s="141"/>
      <c r="F2" s="141"/>
      <c r="G2" s="141"/>
      <c r="H2" s="141"/>
      <c r="I2" s="141"/>
      <c r="J2" s="141"/>
    </row>
    <row r="3" spans="1:18" s="239" customFormat="1" ht="18">
      <c r="A3" s="237" t="s">
        <v>102</v>
      </c>
      <c r="B3" s="238"/>
      <c r="C3" s="141"/>
      <c r="D3" s="141"/>
      <c r="E3" s="141"/>
      <c r="F3" s="141"/>
      <c r="G3" s="141"/>
      <c r="H3" s="141"/>
      <c r="I3" s="141"/>
      <c r="J3" s="141"/>
      <c r="K3" s="141"/>
    </row>
    <row r="4" spans="1:18" s="141" customFormat="1" ht="11.25" customHeight="1">
      <c r="A4" s="300"/>
      <c r="B4" s="139"/>
      <c r="C4" s="137"/>
      <c r="D4" s="137"/>
      <c r="E4" s="137"/>
      <c r="F4" s="137"/>
      <c r="G4" s="137"/>
      <c r="H4" s="137"/>
      <c r="I4" s="137"/>
      <c r="J4" s="137"/>
    </row>
    <row r="5" spans="1:18" s="141" customFormat="1" ht="18" customHeight="1">
      <c r="A5" s="144"/>
      <c r="B5" s="146"/>
      <c r="C5" s="805" t="s">
        <v>8</v>
      </c>
      <c r="D5" s="806"/>
      <c r="E5" s="807" t="s">
        <v>2</v>
      </c>
      <c r="F5" s="808"/>
      <c r="G5" s="807" t="s">
        <v>3</v>
      </c>
      <c r="H5" s="809"/>
      <c r="I5" s="807" t="s">
        <v>4</v>
      </c>
      <c r="J5" s="808"/>
      <c r="L5" s="148"/>
      <c r="M5" s="148"/>
      <c r="N5" s="148"/>
      <c r="O5" s="375"/>
    </row>
    <row r="6" spans="1:18" s="141" customFormat="1" ht="17.45" hidden="1" customHeight="1">
      <c r="A6" s="149" t="s">
        <v>5</v>
      </c>
      <c r="B6" s="241"/>
      <c r="C6" s="243"/>
      <c r="D6" s="243"/>
      <c r="E6" s="152"/>
      <c r="F6" s="376"/>
      <c r="G6" s="152"/>
      <c r="H6" s="154"/>
      <c r="I6" s="154"/>
      <c r="J6" s="154"/>
      <c r="L6" s="441"/>
      <c r="M6" s="441"/>
      <c r="N6" s="377"/>
      <c r="O6" s="377"/>
    </row>
    <row r="7" spans="1:18" s="141" customFormat="1" ht="18">
      <c r="A7" s="156" t="s">
        <v>5</v>
      </c>
      <c r="B7" s="245"/>
      <c r="C7" s="159" t="s">
        <v>6</v>
      </c>
      <c r="D7" s="159" t="s">
        <v>7</v>
      </c>
      <c r="E7" s="236" t="s">
        <v>6</v>
      </c>
      <c r="F7" s="236" t="s">
        <v>7</v>
      </c>
      <c r="G7" s="159" t="s">
        <v>6</v>
      </c>
      <c r="H7" s="236" t="s">
        <v>7</v>
      </c>
      <c r="I7" s="159" t="s">
        <v>6</v>
      </c>
      <c r="J7" s="236" t="s">
        <v>7</v>
      </c>
      <c r="L7" s="161" t="s">
        <v>8</v>
      </c>
      <c r="M7" s="161" t="s">
        <v>2</v>
      </c>
      <c r="N7" s="161" t="s">
        <v>3</v>
      </c>
      <c r="O7" s="161" t="s">
        <v>4</v>
      </c>
    </row>
    <row r="8" spans="1:18" ht="18">
      <c r="A8" s="162" t="s">
        <v>9</v>
      </c>
      <c r="B8" s="163"/>
      <c r="C8" s="379"/>
      <c r="D8" s="379"/>
      <c r="E8" s="164"/>
      <c r="F8" s="379"/>
      <c r="G8" s="164"/>
      <c r="H8" s="379"/>
      <c r="I8" s="379"/>
      <c r="J8" s="379"/>
      <c r="K8" s="228"/>
      <c r="L8" s="442"/>
      <c r="M8" s="443"/>
      <c r="N8" s="443"/>
      <c r="O8" s="443"/>
      <c r="P8" s="444"/>
    </row>
    <row r="9" spans="1:18" s="143" customFormat="1" ht="18">
      <c r="A9" s="162"/>
      <c r="B9" s="180" t="s">
        <v>10</v>
      </c>
      <c r="C9" s="382">
        <v>1283</v>
      </c>
      <c r="D9" s="382">
        <v>1445</v>
      </c>
      <c r="E9" s="445">
        <v>1396</v>
      </c>
      <c r="F9" s="382">
        <v>1438</v>
      </c>
      <c r="G9" s="445">
        <v>1431</v>
      </c>
      <c r="H9" s="382">
        <v>1547</v>
      </c>
      <c r="I9" s="382">
        <v>1520</v>
      </c>
      <c r="J9" s="382">
        <v>1679</v>
      </c>
      <c r="K9" s="446"/>
      <c r="L9" s="445">
        <v>2728</v>
      </c>
      <c r="M9" s="445">
        <v>2835</v>
      </c>
      <c r="N9" s="445">
        <v>2979</v>
      </c>
      <c r="O9" s="382">
        <v>3198</v>
      </c>
      <c r="P9" s="444"/>
      <c r="Q9" s="447"/>
      <c r="R9" s="448"/>
    </row>
    <row r="10" spans="1:18" ht="17.100000000000001" customHeight="1">
      <c r="A10" s="162"/>
      <c r="B10" s="449" t="s">
        <v>11</v>
      </c>
      <c r="C10" s="450">
        <v>-1171</v>
      </c>
      <c r="D10" s="450">
        <v>-1306</v>
      </c>
      <c r="E10" s="451">
        <v>-1259</v>
      </c>
      <c r="F10" s="450">
        <v>-1313</v>
      </c>
      <c r="G10" s="451">
        <v>-1267</v>
      </c>
      <c r="H10" s="450">
        <v>-1389</v>
      </c>
      <c r="I10" s="450">
        <v>-1322</v>
      </c>
      <c r="J10" s="450">
        <v>-1491</v>
      </c>
      <c r="K10" s="452"/>
      <c r="L10" s="451">
        <v>-2477</v>
      </c>
      <c r="M10" s="451">
        <v>-2573</v>
      </c>
      <c r="N10" s="451">
        <v>-2656</v>
      </c>
      <c r="O10" s="450">
        <v>-2814</v>
      </c>
      <c r="P10" s="444"/>
      <c r="Q10" s="447"/>
      <c r="R10" s="448"/>
    </row>
    <row r="11" spans="1:18" ht="17.100000000000001" customHeight="1">
      <c r="A11" s="162"/>
      <c r="B11" s="203" t="s">
        <v>12</v>
      </c>
      <c r="C11" s="453">
        <v>112</v>
      </c>
      <c r="D11" s="453">
        <v>139</v>
      </c>
      <c r="E11" s="454">
        <v>137</v>
      </c>
      <c r="F11" s="453">
        <v>125</v>
      </c>
      <c r="G11" s="454">
        <v>164</v>
      </c>
      <c r="H11" s="453">
        <v>158</v>
      </c>
      <c r="I11" s="453">
        <v>198</v>
      </c>
      <c r="J11" s="453">
        <v>187</v>
      </c>
      <c r="K11" s="452"/>
      <c r="L11" s="454">
        <v>250</v>
      </c>
      <c r="M11" s="454">
        <v>262</v>
      </c>
      <c r="N11" s="454">
        <v>323</v>
      </c>
      <c r="O11" s="453">
        <v>385</v>
      </c>
      <c r="P11" s="444"/>
      <c r="Q11" s="447"/>
      <c r="R11" s="448"/>
    </row>
    <row r="12" spans="1:18" ht="19.5" customHeight="1">
      <c r="A12" s="162"/>
      <c r="B12" s="455" t="s">
        <v>103</v>
      </c>
      <c r="C12" s="450">
        <v>-2</v>
      </c>
      <c r="D12" s="450">
        <v>6</v>
      </c>
      <c r="E12" s="451">
        <v>-1</v>
      </c>
      <c r="F12" s="450">
        <v>5</v>
      </c>
      <c r="G12" s="451">
        <v>5</v>
      </c>
      <c r="H12" s="450">
        <v>4</v>
      </c>
      <c r="I12" s="450">
        <v>22</v>
      </c>
      <c r="J12" s="450">
        <v>3</v>
      </c>
      <c r="K12" s="452"/>
      <c r="L12" s="451">
        <v>4</v>
      </c>
      <c r="M12" s="451">
        <v>4</v>
      </c>
      <c r="N12" s="451">
        <v>8</v>
      </c>
      <c r="O12" s="450">
        <v>25</v>
      </c>
      <c r="P12" s="444"/>
      <c r="Q12" s="447"/>
      <c r="R12" s="448"/>
    </row>
    <row r="13" spans="1:18" s="143" customFormat="1" ht="17.100000000000001" customHeight="1">
      <c r="A13" s="162"/>
      <c r="B13" s="456" t="s">
        <v>14</v>
      </c>
      <c r="C13" s="424">
        <v>110</v>
      </c>
      <c r="D13" s="424">
        <v>145</v>
      </c>
      <c r="E13" s="457">
        <v>136</v>
      </c>
      <c r="F13" s="424">
        <v>130</v>
      </c>
      <c r="G13" s="457">
        <v>169</v>
      </c>
      <c r="H13" s="424">
        <v>162</v>
      </c>
      <c r="I13" s="424">
        <v>220</v>
      </c>
      <c r="J13" s="424">
        <v>190</v>
      </c>
      <c r="K13" s="446"/>
      <c r="L13" s="457">
        <v>254</v>
      </c>
      <c r="M13" s="457">
        <v>266</v>
      </c>
      <c r="N13" s="457">
        <v>331</v>
      </c>
      <c r="O13" s="424">
        <v>410</v>
      </c>
      <c r="P13" s="444"/>
      <c r="Q13" s="447"/>
      <c r="R13" s="448"/>
    </row>
    <row r="14" spans="1:18" s="287" customFormat="1" ht="18.75">
      <c r="A14" s="279"/>
      <c r="B14" s="456" t="s">
        <v>49</v>
      </c>
      <c r="C14" s="390">
        <v>8.5000000000000006E-2</v>
      </c>
      <c r="D14" s="390">
        <v>0.1</v>
      </c>
      <c r="E14" s="390">
        <v>9.7000000000000003E-2</v>
      </c>
      <c r="F14" s="390">
        <v>0.09</v>
      </c>
      <c r="G14" s="390">
        <v>0.11799999999999999</v>
      </c>
      <c r="H14" s="390">
        <v>0.105</v>
      </c>
      <c r="I14" s="390">
        <v>0.14499999999999999</v>
      </c>
      <c r="J14" s="390">
        <v>-0.113</v>
      </c>
      <c r="K14" s="458"/>
      <c r="L14" s="390">
        <v>9.2999999999999999E-2</v>
      </c>
      <c r="M14" s="390">
        <v>9.4E-2</v>
      </c>
      <c r="N14" s="390">
        <v>0.111</v>
      </c>
      <c r="O14" s="390">
        <v>0.128</v>
      </c>
      <c r="P14" s="444"/>
      <c r="Q14" s="447"/>
      <c r="R14" s="448"/>
    </row>
    <row r="15" spans="1:18" s="287" customFormat="1" ht="21">
      <c r="A15" s="279"/>
      <c r="B15" s="166" t="s">
        <v>104</v>
      </c>
      <c r="C15" s="459">
        <v>-56</v>
      </c>
      <c r="D15" s="459">
        <v>-59</v>
      </c>
      <c r="E15" s="460">
        <v>-43</v>
      </c>
      <c r="F15" s="459">
        <v>-39</v>
      </c>
      <c r="G15" s="496">
        <v>-39</v>
      </c>
      <c r="H15" s="224">
        <v>-38</v>
      </c>
      <c r="I15" s="224">
        <v>-36</v>
      </c>
      <c r="J15" s="224">
        <v>-34</v>
      </c>
      <c r="K15" s="452"/>
      <c r="L15" s="496">
        <v>-115</v>
      </c>
      <c r="M15" s="496">
        <v>-83</v>
      </c>
      <c r="N15" s="496">
        <v>-77</v>
      </c>
      <c r="O15" s="224">
        <v>-70</v>
      </c>
      <c r="P15" s="444"/>
      <c r="Q15" s="447"/>
      <c r="R15" s="448"/>
    </row>
    <row r="16" spans="1:18" s="143" customFormat="1" ht="18">
      <c r="A16" s="290"/>
      <c r="B16" s="396" t="s">
        <v>50</v>
      </c>
      <c r="C16" s="398">
        <v>53</v>
      </c>
      <c r="D16" s="398">
        <v>86</v>
      </c>
      <c r="E16" s="461">
        <v>93</v>
      </c>
      <c r="F16" s="398">
        <v>91</v>
      </c>
      <c r="G16" s="461">
        <v>130</v>
      </c>
      <c r="H16" s="398">
        <v>124</v>
      </c>
      <c r="I16" s="398">
        <v>184</v>
      </c>
      <c r="J16" s="398">
        <v>156</v>
      </c>
      <c r="K16" s="452"/>
      <c r="L16" s="461">
        <v>139</v>
      </c>
      <c r="M16" s="461">
        <v>183</v>
      </c>
      <c r="N16" s="461">
        <v>254</v>
      </c>
      <c r="O16" s="398">
        <v>340</v>
      </c>
      <c r="P16" s="444"/>
      <c r="Q16" s="447"/>
      <c r="R16" s="448"/>
    </row>
    <row r="17" spans="1:18" s="143" customFormat="1" ht="18">
      <c r="A17" s="299"/>
      <c r="B17" s="180"/>
      <c r="C17" s="381"/>
      <c r="D17" s="381"/>
      <c r="E17" s="462"/>
      <c r="F17" s="381"/>
      <c r="G17" s="462"/>
      <c r="H17" s="381"/>
      <c r="I17" s="381"/>
      <c r="J17" s="381"/>
      <c r="K17" s="452"/>
      <c r="L17" s="462"/>
      <c r="M17" s="462"/>
      <c r="N17" s="462"/>
      <c r="O17" s="381"/>
      <c r="P17" s="444"/>
      <c r="Q17" s="447"/>
      <c r="R17" s="448"/>
    </row>
    <row r="18" spans="1:18" s="143" customFormat="1" ht="18">
      <c r="A18" s="463"/>
      <c r="B18" s="199"/>
      <c r="C18" s="381"/>
      <c r="D18" s="381"/>
      <c r="E18" s="462"/>
      <c r="F18" s="464"/>
      <c r="G18" s="462"/>
      <c r="H18" s="381"/>
      <c r="I18" s="381"/>
      <c r="J18" s="381"/>
      <c r="K18" s="452"/>
      <c r="L18" s="462"/>
      <c r="M18" s="462"/>
      <c r="N18" s="462"/>
      <c r="O18" s="381"/>
      <c r="P18" s="399"/>
      <c r="Q18" s="447"/>
      <c r="R18" s="448"/>
    </row>
    <row r="19" spans="1:18" s="143" customFormat="1" ht="21">
      <c r="A19" s="305" t="s">
        <v>105</v>
      </c>
      <c r="B19" s="467"/>
      <c r="C19" s="468"/>
      <c r="D19" s="175"/>
      <c r="E19" s="469"/>
      <c r="F19" s="176"/>
      <c r="G19" s="469"/>
      <c r="H19" s="175"/>
      <c r="I19" s="175"/>
      <c r="J19" s="175"/>
      <c r="K19" s="452"/>
      <c r="L19" s="469"/>
      <c r="M19" s="469"/>
      <c r="N19" s="469"/>
      <c r="O19" s="175"/>
      <c r="P19" s="444"/>
      <c r="Q19" s="447"/>
      <c r="R19" s="448"/>
    </row>
    <row r="20" spans="1:18" s="143" customFormat="1" ht="18">
      <c r="A20" s="198"/>
      <c r="B20" s="403" t="s">
        <v>106</v>
      </c>
      <c r="C20" s="404">
        <v>882</v>
      </c>
      <c r="D20" s="191">
        <v>940</v>
      </c>
      <c r="E20" s="470">
        <f>894+1</f>
        <v>895</v>
      </c>
      <c r="F20" s="192">
        <v>1001</v>
      </c>
      <c r="G20" s="191">
        <v>964</v>
      </c>
      <c r="H20" s="191">
        <v>1087</v>
      </c>
      <c r="I20" s="191">
        <v>1046</v>
      </c>
      <c r="J20" s="191">
        <v>1167</v>
      </c>
      <c r="K20" s="452"/>
      <c r="L20" s="470">
        <v>1822</v>
      </c>
      <c r="M20" s="470">
        <v>1896</v>
      </c>
      <c r="N20" s="191">
        <v>2052</v>
      </c>
      <c r="O20" s="191">
        <v>2212</v>
      </c>
      <c r="P20" s="444"/>
      <c r="Q20" s="447"/>
      <c r="R20" s="448"/>
    </row>
    <row r="21" spans="1:18" s="143" customFormat="1" ht="18">
      <c r="A21" s="198"/>
      <c r="B21" s="403" t="s">
        <v>107</v>
      </c>
      <c r="C21" s="404">
        <v>309</v>
      </c>
      <c r="D21" s="191">
        <v>379</v>
      </c>
      <c r="E21" s="470">
        <f>387+6</f>
        <v>393</v>
      </c>
      <c r="F21" s="192">
        <f>324+1</f>
        <v>325</v>
      </c>
      <c r="G21" s="191">
        <v>368</v>
      </c>
      <c r="H21" s="191">
        <v>348</v>
      </c>
      <c r="I21" s="191">
        <v>370</v>
      </c>
      <c r="J21" s="191">
        <v>379</v>
      </c>
      <c r="K21" s="452"/>
      <c r="L21" s="470">
        <v>689</v>
      </c>
      <c r="M21" s="470">
        <f>715+3</f>
        <v>718</v>
      </c>
      <c r="N21" s="191">
        <v>716</v>
      </c>
      <c r="O21" s="191">
        <v>749</v>
      </c>
      <c r="P21" s="444"/>
      <c r="Q21" s="447"/>
      <c r="R21" s="448"/>
    </row>
    <row r="22" spans="1:18" s="143" customFormat="1" ht="18">
      <c r="A22" s="198"/>
      <c r="B22" s="403" t="s">
        <v>108</v>
      </c>
      <c r="C22" s="404">
        <v>92</v>
      </c>
      <c r="D22" s="191">
        <v>125</v>
      </c>
      <c r="E22" s="470">
        <f>115-7</f>
        <v>108</v>
      </c>
      <c r="F22" s="192">
        <f>113-1</f>
        <v>112</v>
      </c>
      <c r="G22" s="191">
        <v>99</v>
      </c>
      <c r="H22" s="191">
        <v>112</v>
      </c>
      <c r="I22" s="191">
        <v>104</v>
      </c>
      <c r="J22" s="191">
        <v>133</v>
      </c>
      <c r="K22" s="452"/>
      <c r="L22" s="470">
        <v>217</v>
      </c>
      <c r="M22" s="470">
        <f>224-3</f>
        <v>221</v>
      </c>
      <c r="N22" s="191">
        <v>211</v>
      </c>
      <c r="O22" s="191">
        <v>237</v>
      </c>
      <c r="P22" s="444"/>
      <c r="Q22" s="447"/>
      <c r="R22" s="448"/>
    </row>
    <row r="23" spans="1:18" s="143" customFormat="1" ht="18.75" thickBot="1">
      <c r="A23" s="198"/>
      <c r="B23" s="471"/>
      <c r="C23" s="472">
        <v>1283</v>
      </c>
      <c r="D23" s="473">
        <v>1445</v>
      </c>
      <c r="E23" s="474">
        <v>1396</v>
      </c>
      <c r="F23" s="475">
        <v>1438</v>
      </c>
      <c r="G23" s="461">
        <v>1431</v>
      </c>
      <c r="H23" s="398">
        <v>1547</v>
      </c>
      <c r="I23" s="398">
        <v>1520</v>
      </c>
      <c r="J23" s="398">
        <v>1679</v>
      </c>
      <c r="K23" s="446"/>
      <c r="L23" s="474">
        <v>2728</v>
      </c>
      <c r="M23" s="474">
        <v>2835</v>
      </c>
      <c r="N23" s="461">
        <v>2979</v>
      </c>
      <c r="O23" s="398">
        <v>3198</v>
      </c>
      <c r="P23" s="444"/>
      <c r="Q23" s="447"/>
      <c r="R23" s="448"/>
    </row>
    <row r="24" spans="1:18" s="143" customFormat="1" ht="18">
      <c r="A24" s="198"/>
      <c r="B24" s="476"/>
      <c r="C24" s="477"/>
      <c r="D24" s="382"/>
      <c r="E24" s="445"/>
      <c r="F24" s="478"/>
      <c r="G24" s="445"/>
      <c r="H24" s="382"/>
      <c r="I24" s="382"/>
      <c r="J24" s="382"/>
      <c r="K24" s="452"/>
      <c r="L24" s="445"/>
      <c r="M24" s="445"/>
      <c r="N24" s="445"/>
      <c r="O24" s="382"/>
      <c r="P24" s="399"/>
      <c r="Q24" s="447"/>
      <c r="R24" s="448"/>
    </row>
    <row r="25" spans="1:18" s="143" customFormat="1" ht="21">
      <c r="A25" s="480" t="s">
        <v>109</v>
      </c>
      <c r="B25" s="476"/>
      <c r="C25" s="477"/>
      <c r="D25" s="382"/>
      <c r="E25" s="445"/>
      <c r="F25" s="478"/>
      <c r="G25" s="445"/>
      <c r="H25" s="382"/>
      <c r="I25" s="382"/>
      <c r="J25" s="382"/>
      <c r="K25" s="697"/>
      <c r="L25" s="445"/>
      <c r="M25" s="445"/>
      <c r="N25" s="445"/>
      <c r="O25" s="382"/>
      <c r="P25" s="399"/>
      <c r="Q25" s="447"/>
      <c r="R25" s="448"/>
    </row>
    <row r="26" spans="1:18" s="143" customFormat="1" ht="18">
      <c r="A26" s="198"/>
      <c r="B26" s="403" t="s">
        <v>110</v>
      </c>
      <c r="C26" s="404">
        <v>530</v>
      </c>
      <c r="D26" s="191">
        <v>585</v>
      </c>
      <c r="E26" s="470">
        <v>588</v>
      </c>
      <c r="F26" s="192">
        <v>554</v>
      </c>
      <c r="G26" s="470">
        <v>587</v>
      </c>
      <c r="H26" s="191">
        <v>564</v>
      </c>
      <c r="I26" s="191">
        <v>556</v>
      </c>
      <c r="J26" s="191">
        <v>554</v>
      </c>
      <c r="K26" s="452"/>
      <c r="L26" s="470">
        <v>1115</v>
      </c>
      <c r="M26" s="470">
        <v>1142</v>
      </c>
      <c r="N26" s="470">
        <v>1151</v>
      </c>
      <c r="O26" s="191">
        <v>1110</v>
      </c>
      <c r="P26" s="444"/>
      <c r="Q26" s="447"/>
      <c r="R26" s="448"/>
    </row>
    <row r="27" spans="1:18" s="143" customFormat="1" ht="18">
      <c r="A27" s="198"/>
      <c r="B27" s="403" t="s">
        <v>111</v>
      </c>
      <c r="C27" s="404">
        <v>585</v>
      </c>
      <c r="D27" s="191">
        <v>649</v>
      </c>
      <c r="E27" s="470">
        <v>589</v>
      </c>
      <c r="F27" s="192">
        <v>668</v>
      </c>
      <c r="G27" s="470">
        <v>640</v>
      </c>
      <c r="H27" s="191">
        <v>743</v>
      </c>
      <c r="I27" s="191">
        <v>722</v>
      </c>
      <c r="J27" s="191">
        <v>847</v>
      </c>
      <c r="K27" s="452"/>
      <c r="L27" s="470">
        <v>1234</v>
      </c>
      <c r="M27" s="470">
        <v>1257</v>
      </c>
      <c r="N27" s="470">
        <v>1383</v>
      </c>
      <c r="O27" s="191">
        <v>1569</v>
      </c>
      <c r="P27" s="444"/>
      <c r="Q27" s="447"/>
      <c r="R27" s="448"/>
    </row>
    <row r="28" spans="1:18" s="143" customFormat="1" ht="18">
      <c r="A28" s="198"/>
      <c r="B28" s="403" t="s">
        <v>112</v>
      </c>
      <c r="C28" s="404">
        <v>102</v>
      </c>
      <c r="D28" s="191">
        <v>137</v>
      </c>
      <c r="E28" s="470">
        <v>140</v>
      </c>
      <c r="F28" s="191">
        <v>124</v>
      </c>
      <c r="G28" s="470">
        <v>127</v>
      </c>
      <c r="H28" s="191">
        <v>149</v>
      </c>
      <c r="I28" s="191">
        <v>152</v>
      </c>
      <c r="J28" s="191">
        <v>176</v>
      </c>
      <c r="K28" s="452"/>
      <c r="L28" s="470">
        <v>239</v>
      </c>
      <c r="M28" s="470">
        <v>264</v>
      </c>
      <c r="N28" s="470">
        <v>277</v>
      </c>
      <c r="O28" s="191">
        <v>327</v>
      </c>
      <c r="P28" s="444"/>
      <c r="Q28" s="447"/>
      <c r="R28" s="448"/>
    </row>
    <row r="29" spans="1:18" s="143" customFormat="1" ht="18">
      <c r="A29" s="198"/>
      <c r="B29" s="403" t="s">
        <v>113</v>
      </c>
      <c r="C29" s="404">
        <v>66</v>
      </c>
      <c r="D29" s="191">
        <v>74</v>
      </c>
      <c r="E29" s="470">
        <v>80</v>
      </c>
      <c r="F29" s="191">
        <v>92</v>
      </c>
      <c r="G29" s="470">
        <v>77</v>
      </c>
      <c r="H29" s="191">
        <v>91</v>
      </c>
      <c r="I29" s="191">
        <v>90</v>
      </c>
      <c r="J29" s="191">
        <v>102</v>
      </c>
      <c r="K29" s="452"/>
      <c r="L29" s="470">
        <v>140</v>
      </c>
      <c r="M29" s="470">
        <v>172</v>
      </c>
      <c r="N29" s="470">
        <v>168</v>
      </c>
      <c r="O29" s="191">
        <v>192</v>
      </c>
      <c r="P29" s="444"/>
      <c r="Q29" s="447"/>
      <c r="R29" s="448"/>
    </row>
    <row r="30" spans="1:18" s="143" customFormat="1" ht="18.75" thickBot="1">
      <c r="A30" s="198"/>
      <c r="B30" s="481"/>
      <c r="C30" s="472">
        <v>1283</v>
      </c>
      <c r="D30" s="473">
        <v>1445</v>
      </c>
      <c r="E30" s="474">
        <v>1396</v>
      </c>
      <c r="F30" s="473">
        <v>1438</v>
      </c>
      <c r="G30" s="461">
        <v>1431</v>
      </c>
      <c r="H30" s="398">
        <v>1547</v>
      </c>
      <c r="I30" s="398">
        <v>1520</v>
      </c>
      <c r="J30" s="398">
        <v>1679</v>
      </c>
      <c r="K30" s="446"/>
      <c r="L30" s="474">
        <v>2728</v>
      </c>
      <c r="M30" s="474">
        <v>2835</v>
      </c>
      <c r="N30" s="461">
        <v>2979</v>
      </c>
      <c r="O30" s="398">
        <v>3198</v>
      </c>
      <c r="P30" s="444"/>
      <c r="Q30" s="447"/>
      <c r="R30" s="448"/>
    </row>
    <row r="31" spans="1:18" s="287" customFormat="1" ht="18.75" hidden="1">
      <c r="A31" s="482"/>
      <c r="B31" s="405" t="s">
        <v>114</v>
      </c>
      <c r="C31" s="406"/>
      <c r="D31" s="407"/>
      <c r="E31" s="483"/>
      <c r="F31" s="407"/>
      <c r="G31" s="483"/>
      <c r="H31" s="407"/>
      <c r="I31" s="407"/>
      <c r="J31" s="407"/>
      <c r="K31" s="458"/>
      <c r="L31" s="483"/>
      <c r="M31" s="483"/>
      <c r="N31" s="483"/>
      <c r="O31" s="407"/>
      <c r="P31" s="444"/>
      <c r="Q31" s="447"/>
      <c r="R31" s="448"/>
    </row>
    <row r="32" spans="1:18" s="143" customFormat="1" ht="18">
      <c r="A32" s="198"/>
      <c r="B32" s="417"/>
      <c r="C32" s="404"/>
      <c r="D32" s="191"/>
      <c r="E32" s="470"/>
      <c r="F32" s="191"/>
      <c r="G32" s="470"/>
      <c r="H32" s="191"/>
      <c r="I32" s="191"/>
      <c r="J32" s="191"/>
      <c r="K32" s="452"/>
      <c r="L32" s="470"/>
      <c r="M32" s="470"/>
      <c r="N32" s="470"/>
      <c r="O32" s="191"/>
      <c r="P32" s="444"/>
      <c r="Q32" s="447"/>
      <c r="R32" s="448"/>
    </row>
    <row r="33" spans="1:18" s="489" customFormat="1" ht="38.25" customHeight="1">
      <c r="A33" s="484"/>
      <c r="B33" s="769" t="s">
        <v>290</v>
      </c>
      <c r="C33" s="485">
        <v>0.5</v>
      </c>
      <c r="D33" s="486">
        <v>0.5</v>
      </c>
      <c r="E33" s="486">
        <v>0.51</v>
      </c>
      <c r="F33" s="486">
        <v>0.52</v>
      </c>
      <c r="G33" s="487">
        <v>0.51</v>
      </c>
      <c r="H33" s="487">
        <v>0.55000000000000004</v>
      </c>
      <c r="I33" s="487">
        <v>0.51</v>
      </c>
      <c r="J33" s="487">
        <v>0.54</v>
      </c>
      <c r="K33" s="488"/>
      <c r="L33" s="487">
        <v>0.51</v>
      </c>
      <c r="M33" s="487">
        <v>0.51</v>
      </c>
      <c r="N33" s="487">
        <v>0.53</v>
      </c>
      <c r="O33" s="487">
        <v>0.52</v>
      </c>
      <c r="P33" s="444"/>
      <c r="Q33" s="447"/>
      <c r="R33" s="448"/>
    </row>
    <row r="34" spans="1:18" s="489" customFormat="1" ht="18.75">
      <c r="A34" s="490"/>
      <c r="B34" s="405"/>
      <c r="C34" s="406"/>
      <c r="D34" s="407"/>
      <c r="E34" s="483"/>
      <c r="F34" s="407"/>
      <c r="G34" s="483"/>
      <c r="H34" s="407"/>
      <c r="I34" s="407"/>
      <c r="J34" s="407"/>
      <c r="K34" s="458"/>
      <c r="L34" s="483"/>
      <c r="M34" s="483"/>
      <c r="N34" s="483"/>
      <c r="O34" s="407"/>
      <c r="P34" s="444"/>
      <c r="Q34" s="447"/>
      <c r="R34" s="448"/>
    </row>
    <row r="35" spans="1:18" ht="18">
      <c r="A35" s="202"/>
      <c r="B35" s="165"/>
      <c r="C35" s="491"/>
      <c r="D35" s="194"/>
      <c r="E35" s="492"/>
      <c r="F35" s="194"/>
      <c r="G35" s="492"/>
      <c r="H35" s="194"/>
      <c r="I35" s="194"/>
      <c r="J35" s="194"/>
      <c r="K35" s="452"/>
      <c r="L35" s="492"/>
      <c r="M35" s="492"/>
      <c r="N35" s="492"/>
      <c r="O35" s="194"/>
      <c r="P35" s="444"/>
      <c r="Q35" s="447"/>
      <c r="R35" s="448"/>
    </row>
    <row r="36" spans="1:18" ht="18">
      <c r="A36" s="198" t="s">
        <v>115</v>
      </c>
      <c r="B36" s="425"/>
      <c r="C36" s="493"/>
      <c r="D36" s="218"/>
      <c r="E36" s="494"/>
      <c r="F36" s="218"/>
      <c r="G36" s="494"/>
      <c r="H36" s="218"/>
      <c r="I36" s="218"/>
      <c r="J36" s="218"/>
      <c r="K36" s="452"/>
      <c r="L36" s="494"/>
      <c r="M36" s="494"/>
      <c r="N36" s="494"/>
      <c r="O36" s="218"/>
      <c r="P36" s="444"/>
      <c r="Q36" s="447"/>
      <c r="R36" s="448"/>
    </row>
    <row r="37" spans="1:18" ht="18">
      <c r="A37" s="202"/>
      <c r="B37" s="165" t="s">
        <v>77</v>
      </c>
      <c r="C37" s="495">
        <v>552</v>
      </c>
      <c r="D37" s="224">
        <v>664</v>
      </c>
      <c r="E37" s="496">
        <v>593</v>
      </c>
      <c r="F37" s="224">
        <v>685</v>
      </c>
      <c r="G37" s="496">
        <v>603</v>
      </c>
      <c r="H37" s="224">
        <v>730</v>
      </c>
      <c r="I37" s="224">
        <v>655</v>
      </c>
      <c r="J37" s="224">
        <v>817</v>
      </c>
      <c r="K37" s="452"/>
      <c r="L37" s="496">
        <v>1216</v>
      </c>
      <c r="M37" s="496">
        <v>1277</v>
      </c>
      <c r="N37" s="496">
        <v>1333</v>
      </c>
      <c r="O37" s="224">
        <v>1472</v>
      </c>
      <c r="P37" s="444"/>
      <c r="Q37" s="447"/>
      <c r="R37" s="448"/>
    </row>
    <row r="38" spans="1:18" ht="21">
      <c r="A38" s="202"/>
      <c r="B38" s="165" t="s">
        <v>116</v>
      </c>
      <c r="C38" s="495">
        <v>556</v>
      </c>
      <c r="D38" s="224">
        <v>577</v>
      </c>
      <c r="E38" s="496">
        <v>603</v>
      </c>
      <c r="F38" s="224">
        <v>562</v>
      </c>
      <c r="G38" s="496">
        <v>597</v>
      </c>
      <c r="H38" s="224">
        <v>580</v>
      </c>
      <c r="I38" s="224">
        <v>593</v>
      </c>
      <c r="J38" s="224">
        <v>583</v>
      </c>
      <c r="K38" s="452"/>
      <c r="L38" s="496">
        <v>1133</v>
      </c>
      <c r="M38" s="496">
        <v>1165</v>
      </c>
      <c r="N38" s="496">
        <v>1178</v>
      </c>
      <c r="O38" s="224">
        <v>1176</v>
      </c>
      <c r="P38" s="444"/>
      <c r="Q38" s="447"/>
      <c r="R38" s="448"/>
    </row>
    <row r="39" spans="1:18" ht="21">
      <c r="A39" s="202"/>
      <c r="B39" s="165" t="s">
        <v>262</v>
      </c>
      <c r="C39" s="495">
        <v>51</v>
      </c>
      <c r="D39" s="224">
        <v>51</v>
      </c>
      <c r="E39" s="496">
        <v>48</v>
      </c>
      <c r="F39" s="224">
        <v>52</v>
      </c>
      <c r="G39" s="496">
        <v>49</v>
      </c>
      <c r="H39" s="224">
        <v>54</v>
      </c>
      <c r="I39" s="224">
        <v>52</v>
      </c>
      <c r="J39" s="224">
        <v>62</v>
      </c>
      <c r="K39" s="452"/>
      <c r="L39" s="496">
        <v>102</v>
      </c>
      <c r="M39" s="496">
        <v>101</v>
      </c>
      <c r="N39" s="496">
        <v>103</v>
      </c>
      <c r="O39" s="224">
        <v>114</v>
      </c>
      <c r="P39" s="444"/>
      <c r="Q39" s="447"/>
      <c r="R39" s="448"/>
    </row>
    <row r="40" spans="1:18" ht="18">
      <c r="A40" s="202"/>
      <c r="B40" s="165" t="s">
        <v>117</v>
      </c>
      <c r="C40" s="495">
        <v>12</v>
      </c>
      <c r="D40" s="224">
        <v>14</v>
      </c>
      <c r="E40" s="496">
        <v>15</v>
      </c>
      <c r="F40" s="224">
        <v>14</v>
      </c>
      <c r="G40" s="496">
        <v>17</v>
      </c>
      <c r="H40" s="224">
        <v>25</v>
      </c>
      <c r="I40" s="224">
        <v>22</v>
      </c>
      <c r="J40" s="224">
        <v>29</v>
      </c>
      <c r="K40" s="452"/>
      <c r="L40" s="496">
        <v>26</v>
      </c>
      <c r="M40" s="496">
        <v>30</v>
      </c>
      <c r="N40" s="496">
        <v>42</v>
      </c>
      <c r="O40" s="224">
        <v>50</v>
      </c>
      <c r="P40" s="444"/>
      <c r="Q40" s="447"/>
      <c r="R40" s="448"/>
    </row>
    <row r="41" spans="1:18" s="143" customFormat="1" ht="18">
      <c r="A41" s="497"/>
      <c r="B41" s="498" t="s">
        <v>11</v>
      </c>
      <c r="C41" s="499">
        <v>1171</v>
      </c>
      <c r="D41" s="500">
        <v>1306</v>
      </c>
      <c r="E41" s="500">
        <v>1259</v>
      </c>
      <c r="F41" s="500">
        <v>1313</v>
      </c>
      <c r="G41" s="500">
        <v>1267</v>
      </c>
      <c r="H41" s="500">
        <v>1389</v>
      </c>
      <c r="I41" s="500">
        <v>1322</v>
      </c>
      <c r="J41" s="500">
        <v>1491</v>
      </c>
      <c r="K41" s="444"/>
      <c r="L41" s="500">
        <v>2477</v>
      </c>
      <c r="M41" s="500">
        <v>2573</v>
      </c>
      <c r="N41" s="500">
        <v>2656</v>
      </c>
      <c r="O41" s="500">
        <v>2814</v>
      </c>
      <c r="P41" s="444"/>
      <c r="Q41" s="447"/>
      <c r="R41" s="448"/>
    </row>
    <row r="42" spans="1:18" ht="18">
      <c r="A42" s="139"/>
      <c r="B42" s="166"/>
      <c r="C42" s="385"/>
      <c r="D42" s="385"/>
      <c r="E42" s="385"/>
      <c r="F42" s="385"/>
      <c r="G42" s="385"/>
      <c r="H42" s="385"/>
      <c r="I42" s="385"/>
      <c r="J42" s="385"/>
      <c r="K42" s="172"/>
      <c r="L42" s="385"/>
      <c r="M42" s="385"/>
      <c r="N42" s="385"/>
      <c r="O42" s="385"/>
      <c r="P42" s="444"/>
      <c r="Q42" s="501"/>
    </row>
    <row r="43" spans="1:18" ht="18">
      <c r="A43" s="139"/>
      <c r="B43" s="166" t="s">
        <v>273</v>
      </c>
      <c r="C43" s="385"/>
      <c r="D43" s="385"/>
      <c r="E43" s="385"/>
      <c r="F43" s="385"/>
      <c r="G43" s="385"/>
      <c r="H43" s="385"/>
      <c r="I43" s="385"/>
      <c r="J43" s="385"/>
      <c r="K43" s="172"/>
      <c r="L43" s="385"/>
      <c r="M43" s="385"/>
      <c r="N43" s="385"/>
      <c r="O43" s="385"/>
      <c r="P43" s="444"/>
      <c r="Q43" s="501"/>
    </row>
    <row r="44" spans="1:18" ht="18">
      <c r="A44" s="139"/>
      <c r="B44" s="166" t="s">
        <v>118</v>
      </c>
      <c r="C44" s="385"/>
      <c r="D44" s="385"/>
      <c r="E44" s="385"/>
      <c r="F44" s="385"/>
      <c r="G44" s="385"/>
      <c r="H44" s="385"/>
      <c r="I44" s="385"/>
      <c r="J44" s="385"/>
      <c r="K44" s="172"/>
      <c r="L44" s="385"/>
      <c r="M44" s="385"/>
      <c r="N44" s="385"/>
      <c r="O44" s="385"/>
      <c r="P44" s="444"/>
      <c r="Q44" s="501"/>
    </row>
    <row r="45" spans="1:18" ht="18">
      <c r="A45" s="139"/>
      <c r="B45" s="166" t="s">
        <v>274</v>
      </c>
      <c r="C45" s="385"/>
      <c r="D45" s="385"/>
      <c r="E45" s="385"/>
      <c r="F45" s="385"/>
      <c r="G45" s="385"/>
      <c r="H45" s="385"/>
      <c r="I45" s="385"/>
      <c r="J45" s="385"/>
      <c r="K45" s="172"/>
      <c r="L45" s="385"/>
      <c r="M45" s="385"/>
      <c r="N45" s="385"/>
      <c r="O45" s="385"/>
      <c r="P45" s="444"/>
      <c r="Q45" s="501"/>
    </row>
    <row r="46" spans="1:18" ht="18">
      <c r="A46" s="139"/>
      <c r="B46" s="166" t="s">
        <v>119</v>
      </c>
      <c r="C46" s="189"/>
      <c r="D46" s="189"/>
      <c r="E46" s="189"/>
      <c r="F46" s="189"/>
      <c r="G46" s="189"/>
      <c r="H46" s="189"/>
      <c r="I46" s="189"/>
      <c r="J46" s="189"/>
      <c r="K46" s="437"/>
      <c r="L46" s="228"/>
      <c r="M46" s="228"/>
      <c r="N46" s="228"/>
      <c r="O46" s="228"/>
      <c r="P46" s="228"/>
    </row>
    <row r="47" spans="1:18" ht="18">
      <c r="A47" s="139"/>
      <c r="B47" s="166" t="s">
        <v>275</v>
      </c>
      <c r="C47" s="189"/>
      <c r="D47" s="189"/>
      <c r="E47" s="189"/>
      <c r="F47" s="189"/>
      <c r="G47" s="189"/>
      <c r="H47" s="189"/>
      <c r="I47" s="189"/>
      <c r="J47" s="189"/>
      <c r="K47" s="437"/>
      <c r="L47" s="228"/>
      <c r="M47" s="228"/>
      <c r="N47" s="228"/>
      <c r="O47" s="228"/>
      <c r="P47" s="228"/>
    </row>
    <row r="48" spans="1:18" ht="18">
      <c r="A48" s="139"/>
      <c r="B48" s="166" t="s">
        <v>291</v>
      </c>
      <c r="C48" s="189"/>
      <c r="D48" s="189"/>
      <c r="E48" s="189"/>
      <c r="F48" s="189"/>
      <c r="G48" s="189"/>
      <c r="H48" s="189"/>
      <c r="I48" s="189"/>
      <c r="J48" s="189"/>
      <c r="K48" s="437"/>
      <c r="L48" s="228"/>
      <c r="M48" s="228"/>
      <c r="N48" s="228"/>
      <c r="O48" s="228"/>
      <c r="P48" s="438"/>
    </row>
    <row r="49" spans="1:16" ht="18">
      <c r="A49" s="139"/>
      <c r="B49" s="166" t="s">
        <v>258</v>
      </c>
      <c r="C49" s="189"/>
      <c r="D49" s="189"/>
      <c r="E49" s="189"/>
      <c r="F49" s="189"/>
      <c r="G49" s="189"/>
      <c r="H49" s="189"/>
      <c r="I49" s="189"/>
      <c r="J49" s="189"/>
      <c r="K49" s="437"/>
      <c r="L49" s="228"/>
      <c r="M49" s="228"/>
      <c r="N49" s="228"/>
      <c r="O49" s="228"/>
      <c r="P49" s="239"/>
    </row>
    <row r="50" spans="1:16" ht="18">
      <c r="A50" s="139"/>
      <c r="B50" s="166" t="s">
        <v>120</v>
      </c>
      <c r="C50" s="189"/>
      <c r="D50" s="189"/>
      <c r="E50" s="189"/>
      <c r="F50" s="189"/>
      <c r="G50" s="189"/>
      <c r="H50" s="189"/>
      <c r="I50" s="189"/>
      <c r="J50" s="189"/>
      <c r="K50" s="437"/>
      <c r="L50" s="228"/>
      <c r="M50" s="228"/>
      <c r="N50" s="228"/>
      <c r="O50" s="228"/>
      <c r="P50" s="239"/>
    </row>
    <row r="51" spans="1:16" ht="18">
      <c r="A51" s="139"/>
      <c r="B51" s="166" t="s">
        <v>259</v>
      </c>
      <c r="C51" s="189"/>
      <c r="D51" s="189"/>
      <c r="E51" s="189"/>
      <c r="F51" s="189"/>
      <c r="G51" s="189"/>
      <c r="H51" s="189"/>
      <c r="I51" s="189"/>
      <c r="J51" s="189"/>
      <c r="K51" s="437"/>
      <c r="L51" s="228"/>
      <c r="M51" s="228"/>
      <c r="N51" s="228"/>
      <c r="O51" s="228"/>
      <c r="P51" s="239"/>
    </row>
    <row r="52" spans="1:16" ht="18">
      <c r="A52" s="139"/>
      <c r="B52" s="166" t="s">
        <v>260</v>
      </c>
      <c r="C52" s="189"/>
      <c r="D52" s="189"/>
      <c r="E52" s="189"/>
      <c r="F52" s="189"/>
      <c r="G52" s="189"/>
      <c r="H52" s="189"/>
      <c r="I52" s="189"/>
      <c r="J52" s="189"/>
      <c r="K52" s="437"/>
      <c r="L52" s="228"/>
      <c r="M52" s="228"/>
      <c r="N52" s="228"/>
      <c r="O52" s="228"/>
      <c r="P52" s="239"/>
    </row>
    <row r="53" spans="1:16" ht="18">
      <c r="A53" s="139"/>
      <c r="B53" s="166" t="s">
        <v>292</v>
      </c>
      <c r="C53" s="189"/>
      <c r="D53" s="189"/>
      <c r="E53" s="189"/>
      <c r="F53" s="189"/>
      <c r="G53" s="189"/>
      <c r="H53" s="189"/>
      <c r="I53" s="189"/>
      <c r="J53" s="189"/>
      <c r="K53" s="437"/>
      <c r="L53" s="228"/>
      <c r="M53" s="228"/>
      <c r="N53" s="228"/>
      <c r="O53" s="228"/>
      <c r="P53" s="239"/>
    </row>
    <row r="54" spans="1:16" ht="18">
      <c r="A54" s="139"/>
      <c r="B54" s="166" t="s">
        <v>121</v>
      </c>
      <c r="C54" s="189"/>
      <c r="D54" s="189"/>
      <c r="E54" s="189"/>
      <c r="F54" s="189"/>
      <c r="G54" s="189"/>
      <c r="H54" s="189"/>
      <c r="I54" s="189"/>
      <c r="J54" s="189"/>
      <c r="K54" s="437"/>
      <c r="L54" s="228"/>
      <c r="M54" s="228"/>
      <c r="N54" s="228"/>
      <c r="O54" s="228"/>
      <c r="P54" s="239"/>
    </row>
    <row r="55" spans="1:16" ht="18">
      <c r="A55" s="139"/>
      <c r="B55" s="166" t="s">
        <v>122</v>
      </c>
      <c r="C55" s="189"/>
      <c r="D55" s="189"/>
      <c r="E55" s="189"/>
      <c r="F55" s="189"/>
      <c r="G55" s="189"/>
      <c r="H55" s="189"/>
      <c r="I55" s="189"/>
      <c r="J55" s="189"/>
      <c r="K55" s="437"/>
      <c r="L55" s="228"/>
      <c r="M55" s="228"/>
      <c r="N55" s="228"/>
      <c r="O55" s="228"/>
      <c r="P55" s="239"/>
    </row>
    <row r="56" spans="1:16" ht="18">
      <c r="A56" s="139"/>
      <c r="B56" s="166" t="s">
        <v>123</v>
      </c>
      <c r="C56" s="189"/>
      <c r="D56" s="189"/>
      <c r="E56" s="189"/>
      <c r="F56" s="189"/>
      <c r="G56" s="189"/>
      <c r="H56" s="189"/>
      <c r="I56" s="189"/>
      <c r="J56" s="189"/>
      <c r="K56" s="437"/>
      <c r="L56" s="228"/>
      <c r="M56" s="228"/>
      <c r="N56" s="228"/>
      <c r="O56" s="228"/>
      <c r="P56" s="239"/>
    </row>
    <row r="57" spans="1:16" s="163" customFormat="1" ht="18">
      <c r="A57" s="502"/>
      <c r="B57" s="166" t="s">
        <v>124</v>
      </c>
      <c r="C57" s="215"/>
      <c r="D57" s="215"/>
      <c r="E57" s="215"/>
      <c r="F57" s="215"/>
      <c r="G57" s="215"/>
      <c r="H57" s="215"/>
      <c r="I57" s="215"/>
      <c r="J57" s="215"/>
      <c r="K57" s="166"/>
      <c r="L57" s="166"/>
      <c r="M57" s="166"/>
      <c r="N57" s="166"/>
      <c r="O57" s="166"/>
    </row>
    <row r="58" spans="1:16" s="163" customFormat="1" ht="18">
      <c r="A58" s="502"/>
      <c r="B58" s="166" t="s">
        <v>125</v>
      </c>
      <c r="C58" s="503"/>
      <c r="D58" s="503"/>
      <c r="E58" s="503"/>
      <c r="F58" s="503"/>
      <c r="G58" s="503"/>
      <c r="H58" s="503"/>
      <c r="I58" s="503"/>
      <c r="J58" s="503"/>
      <c r="K58" s="139"/>
    </row>
    <row r="59" spans="1:16" s="163" customFormat="1" ht="18">
      <c r="A59" s="502"/>
      <c r="B59" s="166" t="s">
        <v>126</v>
      </c>
      <c r="C59" s="503"/>
      <c r="D59" s="503"/>
      <c r="E59" s="503"/>
      <c r="F59" s="503"/>
      <c r="G59" s="503"/>
      <c r="H59" s="503"/>
      <c r="I59" s="503"/>
      <c r="J59" s="503"/>
      <c r="K59" s="139"/>
    </row>
    <row r="60" spans="1:16" ht="18">
      <c r="B60" s="166" t="s">
        <v>261</v>
      </c>
    </row>
    <row r="61" spans="1:16" ht="18">
      <c r="B61" s="166" t="s">
        <v>127</v>
      </c>
    </row>
    <row r="62" spans="1:16" ht="18">
      <c r="B62" s="163" t="s">
        <v>263</v>
      </c>
    </row>
  </sheetData>
  <mergeCells count="4">
    <mergeCell ref="C5:D5"/>
    <mergeCell ref="E5:F5"/>
    <mergeCell ref="G5:H5"/>
    <mergeCell ref="I5:J5"/>
  </mergeCells>
  <pageMargins left="0.51181102362204722" right="0.51181102362204722" top="0.55118110236220474" bottom="0.55118110236220474" header="0.31496062992125984" footer="0.31496062992125984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48"/>
  <sheetViews>
    <sheetView view="pageBreakPreview" topLeftCell="A16" zoomScale="60" zoomScaleNormal="70" workbookViewId="0">
      <selection activeCell="S67" sqref="S67"/>
    </sheetView>
  </sheetViews>
  <sheetFormatPr defaultColWidth="9.28515625" defaultRowHeight="16.5"/>
  <cols>
    <col min="1" max="1" width="1.7109375" style="2" customWidth="1"/>
    <col min="2" max="2" width="71.5703125" style="2" customWidth="1"/>
    <col min="3" max="5" width="19.28515625" style="2" customWidth="1"/>
    <col min="6" max="6" width="13" style="2" bestFit="1" customWidth="1"/>
    <col min="7" max="8" width="16.28515625" style="2" customWidth="1"/>
    <col min="9" max="9" width="9.28515625" style="2"/>
    <col min="10" max="10" width="12.85546875" style="2" customWidth="1"/>
    <col min="11" max="16384" width="9.28515625" style="2"/>
  </cols>
  <sheetData>
    <row r="1" spans="1:11" ht="21" customHeight="1">
      <c r="A1" s="1" t="s">
        <v>0</v>
      </c>
    </row>
    <row r="2" spans="1:11" ht="8.25" customHeight="1">
      <c r="C2" s="4"/>
      <c r="D2" s="4"/>
      <c r="E2" s="4"/>
    </row>
    <row r="3" spans="1:11" s="37" customFormat="1" ht="18">
      <c r="A3" s="35" t="s">
        <v>141</v>
      </c>
      <c r="B3" s="36"/>
      <c r="C3" s="4"/>
      <c r="D3" s="4"/>
      <c r="E3" s="4"/>
      <c r="F3" s="2"/>
    </row>
    <row r="4" spans="1:11" s="4" customFormat="1" ht="11.25" customHeight="1">
      <c r="A4" s="6"/>
      <c r="B4" s="5"/>
      <c r="C4" s="2"/>
      <c r="D4" s="2"/>
      <c r="E4" s="2"/>
    </row>
    <row r="5" spans="1:11" s="4" customFormat="1" ht="18" customHeight="1">
      <c r="A5" s="76"/>
      <c r="B5" s="74"/>
      <c r="C5" s="814" t="s">
        <v>8</v>
      </c>
      <c r="D5" s="815"/>
      <c r="E5" s="133" t="s">
        <v>84</v>
      </c>
      <c r="G5" s="118"/>
      <c r="H5" s="134" t="s">
        <v>85</v>
      </c>
      <c r="I5" s="37"/>
      <c r="J5" s="37"/>
    </row>
    <row r="6" spans="1:11" s="4" customFormat="1" ht="17.45" hidden="1" customHeight="1">
      <c r="A6" s="77" t="s">
        <v>5</v>
      </c>
      <c r="B6" s="75"/>
      <c r="C6" s="71"/>
      <c r="D6" s="71"/>
      <c r="E6" s="71"/>
      <c r="G6" s="96"/>
      <c r="H6" s="85"/>
    </row>
    <row r="7" spans="1:11" s="4" customFormat="1" ht="18">
      <c r="A7" s="97" t="s">
        <v>5</v>
      </c>
      <c r="B7" s="101"/>
      <c r="C7" s="94" t="s">
        <v>6</v>
      </c>
      <c r="D7" s="94" t="s">
        <v>7</v>
      </c>
      <c r="E7" s="94" t="s">
        <v>6</v>
      </c>
      <c r="G7" s="95" t="s">
        <v>8</v>
      </c>
      <c r="H7" s="81" t="s">
        <v>8</v>
      </c>
      <c r="I7" s="37"/>
      <c r="J7" s="37"/>
    </row>
    <row r="8" spans="1:11" ht="18">
      <c r="A8" s="9" t="s">
        <v>9</v>
      </c>
      <c r="B8" s="10"/>
      <c r="C8" s="11"/>
      <c r="D8" s="11"/>
      <c r="E8" s="11"/>
      <c r="F8" s="4"/>
      <c r="G8" s="87"/>
      <c r="H8" s="87"/>
      <c r="I8" s="4"/>
      <c r="J8" s="4"/>
    </row>
    <row r="9" spans="1:11" s="3" customFormat="1" ht="18">
      <c r="A9" s="9"/>
      <c r="B9" s="7" t="s">
        <v>10</v>
      </c>
      <c r="C9" s="32">
        <v>1264</v>
      </c>
      <c r="D9" s="32">
        <v>1292</v>
      </c>
      <c r="E9" s="32"/>
      <c r="F9" s="90"/>
      <c r="G9" s="32">
        <v>2556</v>
      </c>
      <c r="H9" s="32"/>
      <c r="I9" s="40"/>
      <c r="J9" s="78"/>
      <c r="K9" s="88"/>
    </row>
    <row r="10" spans="1:11" ht="17.100000000000001" customHeight="1">
      <c r="A10" s="9"/>
      <c r="B10" s="93" t="s">
        <v>11</v>
      </c>
      <c r="C10" s="68">
        <v>-727</v>
      </c>
      <c r="D10" s="68">
        <v>-744</v>
      </c>
      <c r="E10" s="68"/>
      <c r="F10" s="91"/>
      <c r="G10" s="68">
        <v>-1472</v>
      </c>
      <c r="H10" s="68"/>
      <c r="J10" s="78"/>
      <c r="K10" s="88"/>
    </row>
    <row r="11" spans="1:11" ht="17.100000000000001" customHeight="1">
      <c r="A11" s="9"/>
      <c r="B11" s="42" t="s">
        <v>12</v>
      </c>
      <c r="C11" s="69">
        <v>537</v>
      </c>
      <c r="D11" s="69">
        <v>547</v>
      </c>
      <c r="E11" s="69"/>
      <c r="F11" s="91"/>
      <c r="G11" s="69">
        <v>1084</v>
      </c>
      <c r="H11" s="69"/>
      <c r="J11" s="78"/>
      <c r="K11" s="88"/>
    </row>
    <row r="12" spans="1:11" ht="21">
      <c r="A12" s="9"/>
      <c r="B12" s="93" t="s">
        <v>142</v>
      </c>
      <c r="C12" s="68">
        <v>7</v>
      </c>
      <c r="D12" s="68">
        <v>4</v>
      </c>
      <c r="E12" s="68"/>
      <c r="F12" s="91"/>
      <c r="G12" s="68">
        <v>11</v>
      </c>
      <c r="H12" s="68"/>
      <c r="I12" s="3"/>
      <c r="J12" s="78"/>
      <c r="K12" s="88"/>
    </row>
    <row r="13" spans="1:11" s="3" customFormat="1" ht="17.100000000000001" customHeight="1">
      <c r="A13" s="9"/>
      <c r="B13" s="41" t="s">
        <v>14</v>
      </c>
      <c r="C13" s="64">
        <v>544</v>
      </c>
      <c r="D13" s="64">
        <v>551</v>
      </c>
      <c r="E13" s="64"/>
      <c r="F13" s="90"/>
      <c r="G13" s="64">
        <v>1095</v>
      </c>
      <c r="H13" s="64"/>
      <c r="J13" s="78"/>
      <c r="K13" s="88"/>
    </row>
    <row r="14" spans="1:11" s="48" customFormat="1" ht="18.75">
      <c r="A14" s="49"/>
      <c r="B14" s="41" t="s">
        <v>49</v>
      </c>
      <c r="C14" s="70">
        <v>0.43</v>
      </c>
      <c r="D14" s="70">
        <v>0.42699999999999999</v>
      </c>
      <c r="E14" s="70"/>
      <c r="F14" s="89"/>
      <c r="G14" s="70">
        <v>0.42799999999999999</v>
      </c>
      <c r="H14" s="70"/>
      <c r="J14" s="78"/>
    </row>
    <row r="15" spans="1:11" s="48" customFormat="1" ht="18.75">
      <c r="A15" s="49"/>
      <c r="B15" s="10" t="s">
        <v>20</v>
      </c>
      <c r="C15" s="25">
        <v>-183</v>
      </c>
      <c r="D15" s="25">
        <v>-198</v>
      </c>
      <c r="E15" s="25"/>
      <c r="F15" s="91"/>
      <c r="G15" s="25">
        <v>-381</v>
      </c>
      <c r="H15" s="25"/>
      <c r="J15" s="78"/>
    </row>
    <row r="16" spans="1:11" s="3" customFormat="1" ht="18">
      <c r="A16" s="31"/>
      <c r="B16" s="99" t="s">
        <v>50</v>
      </c>
      <c r="C16" s="113">
        <v>361</v>
      </c>
      <c r="D16" s="113">
        <v>353</v>
      </c>
      <c r="E16" s="113"/>
      <c r="F16" s="91"/>
      <c r="G16" s="113">
        <v>714</v>
      </c>
      <c r="H16" s="113"/>
      <c r="J16" s="78"/>
      <c r="K16" s="88"/>
    </row>
    <row r="17" spans="1:13" s="3" customFormat="1" ht="18">
      <c r="A17" s="100"/>
      <c r="B17" s="13"/>
      <c r="C17" s="30"/>
      <c r="D17" s="30"/>
      <c r="E17" s="30"/>
      <c r="F17" s="91"/>
      <c r="G17" s="30"/>
      <c r="H17" s="30"/>
      <c r="J17" s="78"/>
    </row>
    <row r="18" spans="1:13" s="3" customFormat="1" ht="18">
      <c r="A18" s="98" t="s">
        <v>143</v>
      </c>
      <c r="B18" s="130"/>
      <c r="C18" s="15"/>
      <c r="D18" s="123"/>
      <c r="E18" s="123"/>
      <c r="F18" s="91"/>
      <c r="G18" s="15"/>
      <c r="H18" s="123"/>
    </row>
    <row r="19" spans="1:13" s="3" customFormat="1" ht="21">
      <c r="A19" s="16"/>
      <c r="B19" s="44" t="s">
        <v>144</v>
      </c>
      <c r="C19" s="29">
        <v>264</v>
      </c>
      <c r="D19" s="115">
        <v>256</v>
      </c>
      <c r="E19" s="115"/>
      <c r="F19" s="91"/>
      <c r="G19" s="29">
        <v>521</v>
      </c>
      <c r="H19" s="115"/>
      <c r="J19" s="78"/>
      <c r="K19" s="88"/>
    </row>
    <row r="20" spans="1:13" s="3" customFormat="1" ht="18">
      <c r="A20" s="16"/>
      <c r="B20" s="44" t="s">
        <v>145</v>
      </c>
      <c r="C20" s="29">
        <v>52</v>
      </c>
      <c r="D20" s="115">
        <v>46</v>
      </c>
      <c r="E20" s="115"/>
      <c r="F20" s="91"/>
      <c r="G20" s="29">
        <v>99</v>
      </c>
      <c r="H20" s="115"/>
      <c r="J20" s="78"/>
      <c r="K20" s="88"/>
    </row>
    <row r="21" spans="1:13" s="3" customFormat="1" ht="18">
      <c r="A21" s="16"/>
      <c r="B21" s="51" t="s">
        <v>146</v>
      </c>
      <c r="C21" s="27">
        <v>317</v>
      </c>
      <c r="D21" s="67">
        <v>303</v>
      </c>
      <c r="E21" s="67"/>
      <c r="F21" s="90"/>
      <c r="G21" s="27">
        <v>619</v>
      </c>
      <c r="H21" s="67"/>
      <c r="J21" s="78"/>
      <c r="K21" s="88"/>
      <c r="L21" s="112"/>
      <c r="M21" s="112"/>
    </row>
    <row r="22" spans="1:13" s="48" customFormat="1" ht="18.75">
      <c r="A22" s="55"/>
      <c r="B22" s="53" t="s">
        <v>147</v>
      </c>
      <c r="C22" s="114">
        <v>0.25</v>
      </c>
      <c r="D22" s="126">
        <v>0.23</v>
      </c>
      <c r="E22" s="126"/>
      <c r="F22" s="110"/>
      <c r="G22" s="114">
        <v>0.24</v>
      </c>
      <c r="H22" s="126"/>
      <c r="J22" s="78"/>
    </row>
    <row r="23" spans="1:13" s="3" customFormat="1" ht="18">
      <c r="A23" s="16"/>
      <c r="B23" s="45"/>
      <c r="C23" s="116"/>
      <c r="D23" s="115"/>
      <c r="E23" s="115"/>
      <c r="F23" s="91"/>
      <c r="G23" s="29"/>
      <c r="H23" s="115"/>
      <c r="I23" s="48"/>
      <c r="J23" s="78"/>
    </row>
    <row r="24" spans="1:13" s="40" customFormat="1" ht="18">
      <c r="A24" s="39"/>
      <c r="B24" s="44" t="s">
        <v>33</v>
      </c>
      <c r="C24" s="29">
        <f>277+22</f>
        <v>299</v>
      </c>
      <c r="D24" s="117">
        <v>322</v>
      </c>
      <c r="E24" s="117"/>
      <c r="F24" s="91"/>
      <c r="G24" s="17">
        <v>621</v>
      </c>
      <c r="H24" s="117"/>
      <c r="I24" s="48"/>
      <c r="J24" s="78"/>
      <c r="K24" s="88"/>
    </row>
    <row r="25" spans="1:13" s="54" customFormat="1" ht="18.75">
      <c r="A25" s="52"/>
      <c r="B25" s="53" t="s">
        <v>54</v>
      </c>
      <c r="C25" s="47">
        <f>182+22</f>
        <v>204</v>
      </c>
      <c r="D25" s="119">
        <v>208</v>
      </c>
      <c r="E25" s="119"/>
      <c r="F25" s="92"/>
      <c r="G25" s="63">
        <v>412</v>
      </c>
      <c r="H25" s="119"/>
      <c r="J25" s="78"/>
      <c r="K25" s="88"/>
    </row>
    <row r="26" spans="1:13" s="54" customFormat="1" ht="18.75">
      <c r="A26" s="52"/>
      <c r="B26" s="53" t="s">
        <v>71</v>
      </c>
      <c r="C26" s="47">
        <v>95</v>
      </c>
      <c r="D26" s="119">
        <v>113</v>
      </c>
      <c r="E26" s="119"/>
      <c r="F26" s="92"/>
      <c r="G26" s="63">
        <v>209</v>
      </c>
      <c r="H26" s="119"/>
      <c r="J26" s="78"/>
      <c r="K26" s="88"/>
    </row>
    <row r="27" spans="1:13" s="40" customFormat="1" ht="21">
      <c r="A27" s="39"/>
      <c r="B27" s="44" t="s">
        <v>148</v>
      </c>
      <c r="C27" s="29">
        <f>520+50</f>
        <v>570</v>
      </c>
      <c r="D27" s="117">
        <v>573</v>
      </c>
      <c r="E27" s="117"/>
      <c r="F27" s="91"/>
      <c r="G27" s="17">
        <v>1142</v>
      </c>
      <c r="H27" s="117"/>
      <c r="J27" s="78"/>
      <c r="K27" s="88"/>
    </row>
    <row r="28" spans="1:13" s="40" customFormat="1" ht="18">
      <c r="A28" s="39"/>
      <c r="B28" s="44" t="s">
        <v>36</v>
      </c>
      <c r="C28" s="29">
        <f>71-10</f>
        <v>61</v>
      </c>
      <c r="D28" s="117">
        <v>59</v>
      </c>
      <c r="E28" s="117"/>
      <c r="F28" s="91"/>
      <c r="G28" s="17">
        <v>120</v>
      </c>
      <c r="H28" s="117"/>
      <c r="J28" s="78"/>
      <c r="K28" s="88"/>
    </row>
    <row r="29" spans="1:13" s="40" customFormat="1" ht="21">
      <c r="A29" s="39"/>
      <c r="B29" s="44" t="s">
        <v>149</v>
      </c>
      <c r="C29" s="29">
        <f>79-61</f>
        <v>18</v>
      </c>
      <c r="D29" s="117">
        <v>36</v>
      </c>
      <c r="E29" s="117"/>
      <c r="F29" s="91"/>
      <c r="G29" s="17">
        <v>53</v>
      </c>
      <c r="H29" s="117"/>
      <c r="J29" s="78"/>
      <c r="K29" s="88"/>
    </row>
    <row r="30" spans="1:13" s="40" customFormat="1" ht="18.75" thickBot="1">
      <c r="A30" s="39"/>
      <c r="B30" s="51" t="s">
        <v>150</v>
      </c>
      <c r="C30" s="27">
        <v>947</v>
      </c>
      <c r="D30" s="120">
        <v>989</v>
      </c>
      <c r="E30" s="120"/>
      <c r="F30" s="90"/>
      <c r="G30" s="64">
        <v>1937</v>
      </c>
      <c r="H30" s="120"/>
      <c r="J30" s="78"/>
      <c r="K30" s="88"/>
    </row>
    <row r="31" spans="1:13" ht="18.75" thickBot="1">
      <c r="A31" s="18"/>
      <c r="B31" s="46"/>
      <c r="C31" s="65">
        <v>1264</v>
      </c>
      <c r="D31" s="127">
        <v>1292</v>
      </c>
      <c r="E31" s="127"/>
      <c r="F31" s="91"/>
      <c r="G31" s="65">
        <v>2556</v>
      </c>
      <c r="H31" s="127"/>
      <c r="J31" s="78"/>
      <c r="K31" s="88"/>
    </row>
    <row r="32" spans="1:13" ht="18">
      <c r="A32" s="18"/>
      <c r="B32" s="46"/>
      <c r="C32" s="27"/>
      <c r="D32" s="67"/>
      <c r="E32" s="67"/>
      <c r="F32" s="91"/>
      <c r="G32" s="27"/>
      <c r="H32" s="67"/>
      <c r="J32" s="78"/>
    </row>
    <row r="33" spans="1:11" ht="18">
      <c r="A33" s="16" t="s">
        <v>151</v>
      </c>
      <c r="B33" s="132"/>
      <c r="C33" s="28"/>
      <c r="D33" s="128"/>
      <c r="E33" s="128"/>
      <c r="F33" s="91"/>
      <c r="G33" s="28"/>
      <c r="H33" s="128"/>
      <c r="J33" s="78"/>
    </row>
    <row r="34" spans="1:11" ht="18">
      <c r="A34" s="18"/>
      <c r="B34" s="46" t="s">
        <v>77</v>
      </c>
      <c r="C34" s="25">
        <f>250-8</f>
        <v>242</v>
      </c>
      <c r="D34" s="135">
        <v>240</v>
      </c>
      <c r="E34" s="131"/>
      <c r="F34" s="91"/>
      <c r="G34" s="25">
        <v>482</v>
      </c>
      <c r="H34" s="129"/>
      <c r="J34" s="78"/>
      <c r="K34" s="88"/>
    </row>
    <row r="35" spans="1:11" ht="18">
      <c r="A35" s="18"/>
      <c r="B35" s="44" t="s">
        <v>78</v>
      </c>
      <c r="C35" s="25">
        <f>145+8</f>
        <v>153</v>
      </c>
      <c r="D35" s="129">
        <v>151</v>
      </c>
      <c r="E35" s="129"/>
      <c r="F35" s="91"/>
      <c r="G35" s="25">
        <v>304</v>
      </c>
      <c r="H35" s="129"/>
      <c r="J35" s="78"/>
      <c r="K35" s="88"/>
    </row>
    <row r="36" spans="1:11" ht="21">
      <c r="A36" s="18"/>
      <c r="B36" s="44" t="s">
        <v>152</v>
      </c>
      <c r="C36" s="25">
        <v>152</v>
      </c>
      <c r="D36" s="129">
        <v>170</v>
      </c>
      <c r="E36" s="129"/>
      <c r="F36" s="91"/>
      <c r="G36" s="25">
        <v>322</v>
      </c>
      <c r="H36" s="129"/>
      <c r="J36" s="78"/>
      <c r="K36" s="88"/>
    </row>
    <row r="37" spans="1:11" ht="18">
      <c r="A37" s="18"/>
      <c r="B37" s="46" t="s">
        <v>62</v>
      </c>
      <c r="C37" s="25">
        <v>138</v>
      </c>
      <c r="D37" s="129">
        <v>135</v>
      </c>
      <c r="E37" s="129"/>
      <c r="F37" s="91"/>
      <c r="G37" s="25">
        <v>273</v>
      </c>
      <c r="H37" s="129"/>
      <c r="J37" s="78"/>
      <c r="K37" s="88"/>
    </row>
    <row r="38" spans="1:11" ht="18.75" thickBot="1">
      <c r="A38" s="18"/>
      <c r="B38" s="46" t="s">
        <v>153</v>
      </c>
      <c r="C38" s="25">
        <v>42</v>
      </c>
      <c r="D38" s="129">
        <v>48</v>
      </c>
      <c r="E38" s="129"/>
      <c r="F38" s="91"/>
      <c r="G38" s="25">
        <v>90</v>
      </c>
      <c r="H38" s="129"/>
      <c r="J38" s="78"/>
      <c r="K38" s="88"/>
    </row>
    <row r="39" spans="1:11" ht="18">
      <c r="A39" s="21"/>
      <c r="B39" s="61"/>
      <c r="C39" s="66">
        <v>727</v>
      </c>
      <c r="D39" s="60">
        <v>744</v>
      </c>
      <c r="E39" s="60"/>
      <c r="F39" s="91"/>
      <c r="G39" s="66">
        <v>1472</v>
      </c>
      <c r="H39" s="60"/>
      <c r="J39" s="78"/>
      <c r="K39" s="88"/>
    </row>
    <row r="40" spans="1:11" ht="18">
      <c r="A40" s="10"/>
      <c r="B40" s="10"/>
      <c r="C40" s="20"/>
      <c r="D40" s="20"/>
      <c r="E40" s="20"/>
      <c r="F40" s="91"/>
      <c r="G40" s="20"/>
      <c r="H40" s="20"/>
    </row>
    <row r="41" spans="1:11" s="23" customFormat="1" ht="18">
      <c r="A41" s="19"/>
      <c r="B41" s="23" t="s">
        <v>154</v>
      </c>
      <c r="C41" s="79"/>
      <c r="D41" s="79"/>
      <c r="E41" s="79"/>
    </row>
    <row r="42" spans="1:11" s="10" customFormat="1" ht="18">
      <c r="B42" s="23" t="s">
        <v>155</v>
      </c>
      <c r="C42" s="23"/>
      <c r="D42" s="23"/>
      <c r="E42" s="23"/>
      <c r="F42" s="23"/>
      <c r="G42" s="23"/>
      <c r="H42" s="23"/>
    </row>
    <row r="43" spans="1:11" s="10" customFormat="1" ht="18">
      <c r="B43" s="23" t="s">
        <v>156</v>
      </c>
      <c r="C43" s="23"/>
      <c r="D43" s="23"/>
      <c r="E43" s="23"/>
      <c r="F43" s="23"/>
      <c r="G43" s="23"/>
      <c r="H43" s="23"/>
    </row>
    <row r="44" spans="1:11" s="10" customFormat="1" ht="18">
      <c r="B44" s="23" t="s">
        <v>157</v>
      </c>
      <c r="C44" s="23"/>
      <c r="D44" s="23"/>
      <c r="E44" s="23"/>
      <c r="F44" s="23"/>
      <c r="G44" s="23"/>
      <c r="H44" s="23"/>
    </row>
    <row r="45" spans="1:11" s="10" customFormat="1" ht="18">
      <c r="B45" s="23" t="s">
        <v>158</v>
      </c>
      <c r="C45" s="23"/>
      <c r="D45" s="23"/>
      <c r="E45" s="23"/>
      <c r="F45" s="23"/>
      <c r="G45" s="38"/>
      <c r="H45" s="38"/>
    </row>
    <row r="46" spans="1:11" ht="18">
      <c r="B46" s="23" t="s">
        <v>159</v>
      </c>
      <c r="C46" s="4"/>
      <c r="D46" s="4"/>
      <c r="E46" s="4"/>
      <c r="F46" s="4"/>
      <c r="G46" s="4"/>
      <c r="H46" s="4"/>
    </row>
    <row r="47" spans="1:11" ht="18">
      <c r="B47" s="23" t="s">
        <v>160</v>
      </c>
      <c r="C47" s="4"/>
      <c r="D47" s="4"/>
      <c r="E47" s="4"/>
      <c r="F47" s="4"/>
      <c r="G47" s="4"/>
      <c r="H47" s="4"/>
    </row>
    <row r="48" spans="1:11" ht="18">
      <c r="B48" s="23" t="s">
        <v>161</v>
      </c>
    </row>
  </sheetData>
  <mergeCells count="1">
    <mergeCell ref="C5:D5"/>
  </mergeCells>
  <pageMargins left="0.70866141732283505" right="0.70866141732283505" top="0.74803149606299202" bottom="0.74803149606299202" header="0.31496062992126" footer="0.31496062992126"/>
  <pageSetup paperSize="9" scale="58" orientation="landscape" r:id="rId1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8629-F174-4EB0-8341-9B15D0577DFA}">
  <sheetPr>
    <pageSetUpPr fitToPage="1"/>
  </sheetPr>
  <dimension ref="A1:R57"/>
  <sheetViews>
    <sheetView view="pageBreakPreview" zoomScale="85" zoomScaleNormal="90" zoomScaleSheetLayoutView="85" workbookViewId="0">
      <selection activeCell="B1" sqref="B1"/>
    </sheetView>
  </sheetViews>
  <sheetFormatPr defaultColWidth="9.28515625" defaultRowHeight="16.5"/>
  <cols>
    <col min="1" max="1" width="1.7109375" style="137" customWidth="1"/>
    <col min="2" max="2" width="68.85546875" style="137" customWidth="1"/>
    <col min="3" max="6" width="19.28515625" style="137" hidden="1" customWidth="1"/>
    <col min="7" max="10" width="19.28515625" style="137" customWidth="1"/>
    <col min="11" max="11" width="13" style="137" customWidth="1"/>
    <col min="12" max="12" width="19.7109375" style="137" hidden="1" customWidth="1"/>
    <col min="13" max="13" width="19.140625" style="137" hidden="1" customWidth="1"/>
    <col min="14" max="14" width="16.7109375" style="137" customWidth="1"/>
    <col min="15" max="15" width="16.28515625" style="137" customWidth="1"/>
    <col min="16" max="16" width="9.28515625" style="137" customWidth="1"/>
    <col min="17" max="17" width="12.85546875" style="137" customWidth="1"/>
    <col min="18" max="16384" width="9.28515625" style="137"/>
  </cols>
  <sheetData>
    <row r="1" spans="1:18" ht="21" customHeight="1">
      <c r="A1" s="140" t="s">
        <v>0</v>
      </c>
      <c r="B1" s="163"/>
    </row>
    <row r="2" spans="1:18" ht="8.25" customHeight="1">
      <c r="A2" s="163"/>
      <c r="B2" s="163"/>
      <c r="C2" s="141"/>
      <c r="D2" s="141"/>
      <c r="E2" s="141"/>
      <c r="F2" s="141"/>
      <c r="G2" s="141"/>
      <c r="H2" s="141"/>
      <c r="I2" s="141"/>
      <c r="J2" s="141"/>
    </row>
    <row r="3" spans="1:18" s="239" customFormat="1" ht="18">
      <c r="A3" s="237" t="s">
        <v>128</v>
      </c>
      <c r="B3" s="238"/>
      <c r="C3" s="141"/>
      <c r="D3" s="141"/>
      <c r="E3" s="141"/>
      <c r="F3" s="141"/>
      <c r="G3" s="141"/>
      <c r="H3" s="141"/>
      <c r="I3" s="141"/>
      <c r="J3" s="141"/>
      <c r="K3" s="137"/>
    </row>
    <row r="4" spans="1:18" s="141" customFormat="1" ht="11.25" customHeight="1">
      <c r="A4" s="373"/>
      <c r="B4" s="374"/>
      <c r="C4" s="137"/>
      <c r="D4" s="137"/>
      <c r="E4" s="137"/>
      <c r="F4" s="137"/>
      <c r="G4" s="137"/>
      <c r="H4" s="137"/>
      <c r="I4" s="137"/>
      <c r="J4" s="137"/>
    </row>
    <row r="5" spans="1:18" s="141" customFormat="1" ht="18" customHeight="1">
      <c r="A5" s="144"/>
      <c r="B5" s="145"/>
      <c r="C5" s="807" t="s">
        <v>8</v>
      </c>
      <c r="D5" s="808"/>
      <c r="E5" s="807" t="s">
        <v>2</v>
      </c>
      <c r="F5" s="808"/>
      <c r="G5" s="807" t="s">
        <v>3</v>
      </c>
      <c r="H5" s="809"/>
      <c r="I5" s="807" t="s">
        <v>4</v>
      </c>
      <c r="J5" s="808"/>
      <c r="L5" s="504"/>
      <c r="M5" s="240"/>
      <c r="N5" s="148"/>
      <c r="O5" s="375"/>
      <c r="P5" s="239"/>
      <c r="Q5" s="239"/>
    </row>
    <row r="6" spans="1:18" s="141" customFormat="1" ht="17.45" hidden="1" customHeight="1">
      <c r="A6" s="149" t="s">
        <v>5</v>
      </c>
      <c r="B6" s="150"/>
      <c r="C6" s="243"/>
      <c r="D6" s="243"/>
      <c r="E6" s="152"/>
      <c r="F6" s="376"/>
      <c r="G6" s="152"/>
      <c r="H6" s="154"/>
      <c r="I6" s="154"/>
      <c r="J6" s="154"/>
      <c r="L6" s="155"/>
      <c r="M6" s="155"/>
      <c r="N6" s="155"/>
      <c r="O6" s="377"/>
    </row>
    <row r="7" spans="1:18" s="141" customFormat="1" ht="18">
      <c r="A7" s="156" t="s">
        <v>5</v>
      </c>
      <c r="B7" s="245"/>
      <c r="C7" s="236" t="s">
        <v>6</v>
      </c>
      <c r="D7" s="236" t="s">
        <v>7</v>
      </c>
      <c r="E7" s="236" t="s">
        <v>6</v>
      </c>
      <c r="F7" s="236" t="s">
        <v>7</v>
      </c>
      <c r="G7" s="159" t="s">
        <v>6</v>
      </c>
      <c r="H7" s="236" t="s">
        <v>7</v>
      </c>
      <c r="I7" s="159" t="s">
        <v>6</v>
      </c>
      <c r="J7" s="236" t="s">
        <v>7</v>
      </c>
      <c r="L7" s="161" t="s">
        <v>8</v>
      </c>
      <c r="M7" s="161" t="s">
        <v>2</v>
      </c>
      <c r="N7" s="161" t="s">
        <v>3</v>
      </c>
      <c r="O7" s="161" t="s">
        <v>4</v>
      </c>
      <c r="P7" s="239"/>
      <c r="Q7" s="239"/>
    </row>
    <row r="8" spans="1:18" ht="18">
      <c r="A8" s="162" t="s">
        <v>9</v>
      </c>
      <c r="B8" s="163"/>
      <c r="C8" s="379"/>
      <c r="D8" s="379"/>
      <c r="E8" s="379"/>
      <c r="F8" s="379"/>
      <c r="G8" s="379"/>
      <c r="H8" s="379"/>
      <c r="I8" s="379"/>
      <c r="J8" s="379"/>
      <c r="K8" s="141"/>
      <c r="L8" s="505"/>
      <c r="M8" s="505"/>
      <c r="N8" s="505"/>
      <c r="O8" s="505"/>
      <c r="P8" s="141"/>
      <c r="Q8" s="141"/>
    </row>
    <row r="9" spans="1:18" s="143" customFormat="1" ht="18">
      <c r="A9" s="162"/>
      <c r="B9" s="180" t="s">
        <v>10</v>
      </c>
      <c r="C9" s="382">
        <v>180</v>
      </c>
      <c r="D9" s="382">
        <v>203</v>
      </c>
      <c r="E9" s="382">
        <v>203</v>
      </c>
      <c r="F9" s="382">
        <v>211</v>
      </c>
      <c r="G9" s="382">
        <v>219</v>
      </c>
      <c r="H9" s="382">
        <v>215</v>
      </c>
      <c r="I9" s="382">
        <v>216</v>
      </c>
      <c r="J9" s="382">
        <v>270</v>
      </c>
      <c r="K9" s="444"/>
      <c r="L9" s="382">
        <v>383</v>
      </c>
      <c r="M9" s="382">
        <v>413</v>
      </c>
      <c r="N9" s="382">
        <v>434</v>
      </c>
      <c r="O9" s="382">
        <v>486</v>
      </c>
      <c r="P9" s="506"/>
      <c r="Q9" s="444"/>
      <c r="R9" s="262"/>
    </row>
    <row r="10" spans="1:18" ht="17.100000000000001" customHeight="1">
      <c r="A10" s="162"/>
      <c r="B10" s="507" t="s">
        <v>11</v>
      </c>
      <c r="C10" s="352">
        <v>-73</v>
      </c>
      <c r="D10" s="352">
        <v>-92</v>
      </c>
      <c r="E10" s="352">
        <v>-93</v>
      </c>
      <c r="F10" s="352">
        <v>-105</v>
      </c>
      <c r="G10" s="450">
        <v>-111</v>
      </c>
      <c r="H10" s="450">
        <v>-123</v>
      </c>
      <c r="I10" s="450">
        <v>-107</v>
      </c>
      <c r="J10" s="450">
        <v>-146</v>
      </c>
      <c r="K10" s="172"/>
      <c r="L10" s="450">
        <v>-166</v>
      </c>
      <c r="M10" s="450">
        <v>-197</v>
      </c>
      <c r="N10" s="450">
        <v>-234</v>
      </c>
      <c r="O10" s="450">
        <v>-254</v>
      </c>
      <c r="P10" s="228"/>
      <c r="Q10" s="444"/>
      <c r="R10" s="262"/>
    </row>
    <row r="11" spans="1:18" ht="17.100000000000001" customHeight="1">
      <c r="A11" s="162"/>
      <c r="B11" s="440" t="s">
        <v>12</v>
      </c>
      <c r="C11" s="508">
        <v>107</v>
      </c>
      <c r="D11" s="508">
        <v>110</v>
      </c>
      <c r="E11" s="508">
        <v>110</v>
      </c>
      <c r="F11" s="508">
        <v>106</v>
      </c>
      <c r="G11" s="453">
        <v>109</v>
      </c>
      <c r="H11" s="453">
        <v>92</v>
      </c>
      <c r="I11" s="453">
        <v>109</v>
      </c>
      <c r="J11" s="453">
        <v>124</v>
      </c>
      <c r="K11" s="172"/>
      <c r="L11" s="453">
        <v>217</v>
      </c>
      <c r="M11" s="453">
        <v>216</v>
      </c>
      <c r="N11" s="453">
        <v>200</v>
      </c>
      <c r="O11" s="453">
        <v>233</v>
      </c>
      <c r="P11" s="228"/>
      <c r="Q11" s="444"/>
      <c r="R11" s="262"/>
    </row>
    <row r="12" spans="1:18" ht="21">
      <c r="A12" s="162"/>
      <c r="B12" s="507" t="s">
        <v>129</v>
      </c>
      <c r="C12" s="509" t="s">
        <v>89</v>
      </c>
      <c r="D12" s="352">
        <v>11</v>
      </c>
      <c r="E12" s="352">
        <v>2</v>
      </c>
      <c r="F12" s="352">
        <v>1</v>
      </c>
      <c r="G12" s="450">
        <v>2</v>
      </c>
      <c r="H12" s="450">
        <v>9</v>
      </c>
      <c r="I12" s="450">
        <v>1</v>
      </c>
      <c r="J12" s="450">
        <v>1</v>
      </c>
      <c r="K12" s="172"/>
      <c r="L12" s="450">
        <v>11</v>
      </c>
      <c r="M12" s="450">
        <v>3</v>
      </c>
      <c r="N12" s="450">
        <v>11</v>
      </c>
      <c r="O12" s="450">
        <v>3</v>
      </c>
      <c r="P12" s="399"/>
      <c r="Q12" s="444"/>
      <c r="R12" s="262"/>
    </row>
    <row r="13" spans="1:18" s="143" customFormat="1" ht="17.100000000000001" customHeight="1">
      <c r="A13" s="162"/>
      <c r="B13" s="510" t="s">
        <v>14</v>
      </c>
      <c r="C13" s="315">
        <v>107</v>
      </c>
      <c r="D13" s="315">
        <v>121</v>
      </c>
      <c r="E13" s="315">
        <v>112</v>
      </c>
      <c r="F13" s="315">
        <v>107</v>
      </c>
      <c r="G13" s="424">
        <v>111</v>
      </c>
      <c r="H13" s="424">
        <v>101</v>
      </c>
      <c r="I13" s="424">
        <v>110</v>
      </c>
      <c r="J13" s="424">
        <v>125</v>
      </c>
      <c r="K13" s="444"/>
      <c r="L13" s="424">
        <v>228</v>
      </c>
      <c r="M13" s="424">
        <v>219</v>
      </c>
      <c r="N13" s="424">
        <v>212</v>
      </c>
      <c r="O13" s="424">
        <v>235</v>
      </c>
      <c r="P13" s="399"/>
      <c r="Q13" s="444"/>
      <c r="R13" s="262"/>
    </row>
    <row r="14" spans="1:18" s="287" customFormat="1" ht="18.75">
      <c r="A14" s="279"/>
      <c r="B14" s="510" t="s">
        <v>49</v>
      </c>
      <c r="C14" s="391">
        <v>0.59499999999999997</v>
      </c>
      <c r="D14" s="391">
        <v>0.59699999999999998</v>
      </c>
      <c r="E14" s="391">
        <f>55.3%+0.1%</f>
        <v>0.55399999999999994</v>
      </c>
      <c r="F14" s="391">
        <v>0.50600000000000001</v>
      </c>
      <c r="G14" s="390">
        <v>0.505</v>
      </c>
      <c r="H14" s="390">
        <v>0.46899999999999997</v>
      </c>
      <c r="I14" s="390">
        <v>0.51</v>
      </c>
      <c r="J14" s="390">
        <v>0.46400000000000002</v>
      </c>
      <c r="K14" s="698"/>
      <c r="L14" s="390">
        <v>0.59599999999999997</v>
      </c>
      <c r="M14" s="390">
        <v>0.52900000000000003</v>
      </c>
      <c r="N14" s="390">
        <v>0.48699999999999999</v>
      </c>
      <c r="O14" s="390">
        <v>0.48399999999999999</v>
      </c>
      <c r="P14" s="511"/>
      <c r="Q14" s="444"/>
      <c r="R14" s="262"/>
    </row>
    <row r="15" spans="1:18" s="287" customFormat="1" ht="18.75">
      <c r="A15" s="279"/>
      <c r="B15" s="139" t="s">
        <v>20</v>
      </c>
      <c r="C15" s="222">
        <v>-76</v>
      </c>
      <c r="D15" s="222">
        <v>-80</v>
      </c>
      <c r="E15" s="222">
        <v>-73</v>
      </c>
      <c r="F15" s="222">
        <v>-74</v>
      </c>
      <c r="G15" s="224">
        <v>-72</v>
      </c>
      <c r="H15" s="224">
        <v>-74</v>
      </c>
      <c r="I15" s="224">
        <v>-69</v>
      </c>
      <c r="J15" s="224">
        <v>-86</v>
      </c>
      <c r="K15" s="172"/>
      <c r="L15" s="224">
        <v>-155</v>
      </c>
      <c r="M15" s="224">
        <v>-147</v>
      </c>
      <c r="N15" s="224">
        <v>-146</v>
      </c>
      <c r="O15" s="224">
        <v>-155</v>
      </c>
      <c r="P15" s="511"/>
      <c r="Q15" s="444"/>
      <c r="R15" s="262"/>
    </row>
    <row r="16" spans="1:18" s="143" customFormat="1" ht="18">
      <c r="A16" s="290"/>
      <c r="B16" s="512" t="s">
        <v>50</v>
      </c>
      <c r="C16" s="513">
        <v>32</v>
      </c>
      <c r="D16" s="513">
        <v>41</v>
      </c>
      <c r="E16" s="513">
        <v>39</v>
      </c>
      <c r="F16" s="513">
        <v>33</v>
      </c>
      <c r="G16" s="398">
        <v>39</v>
      </c>
      <c r="H16" s="398">
        <v>26</v>
      </c>
      <c r="I16" s="398">
        <v>41</v>
      </c>
      <c r="J16" s="398">
        <v>40</v>
      </c>
      <c r="K16" s="172"/>
      <c r="L16" s="398">
        <v>73</v>
      </c>
      <c r="M16" s="398">
        <v>72</v>
      </c>
      <c r="N16" s="398">
        <v>65</v>
      </c>
      <c r="O16" s="398">
        <v>81</v>
      </c>
      <c r="P16" s="399"/>
      <c r="Q16" s="444"/>
      <c r="R16" s="262"/>
    </row>
    <row r="17" spans="1:18" s="143" customFormat="1" ht="18">
      <c r="A17" s="514"/>
      <c r="B17" s="300"/>
      <c r="C17" s="464"/>
      <c r="D17" s="464"/>
      <c r="E17" s="464"/>
      <c r="F17" s="464"/>
      <c r="G17" s="381"/>
      <c r="H17" s="381"/>
      <c r="I17" s="381"/>
      <c r="J17" s="381"/>
      <c r="K17" s="172"/>
      <c r="L17" s="381"/>
      <c r="M17" s="381"/>
      <c r="N17" s="381"/>
      <c r="O17" s="381"/>
      <c r="P17" s="399"/>
      <c r="Q17" s="444"/>
      <c r="R17" s="262"/>
    </row>
    <row r="18" spans="1:18" s="143" customFormat="1" ht="18">
      <c r="A18" s="515" t="s">
        <v>130</v>
      </c>
      <c r="B18" s="516"/>
      <c r="C18" s="517"/>
      <c r="D18" s="518"/>
      <c r="E18" s="518"/>
      <c r="F18" s="518"/>
      <c r="G18" s="401"/>
      <c r="H18" s="402"/>
      <c r="I18" s="401"/>
      <c r="J18" s="402"/>
      <c r="K18" s="172"/>
      <c r="L18" s="533"/>
      <c r="M18" s="402"/>
      <c r="N18" s="402"/>
      <c r="O18" s="402"/>
      <c r="P18" s="399"/>
      <c r="Q18" s="444"/>
      <c r="R18" s="262"/>
    </row>
    <row r="19" spans="1:18" s="143" customFormat="1" ht="21">
      <c r="A19" s="519"/>
      <c r="B19" s="429" t="s">
        <v>131</v>
      </c>
      <c r="C19" s="192">
        <v>132</v>
      </c>
      <c r="D19" s="520">
        <v>140</v>
      </c>
      <c r="E19" s="520">
        <v>144</v>
      </c>
      <c r="F19" s="520">
        <v>155</v>
      </c>
      <c r="G19" s="404">
        <v>169</v>
      </c>
      <c r="H19" s="191">
        <v>157</v>
      </c>
      <c r="I19" s="404">
        <v>164</v>
      </c>
      <c r="J19" s="191">
        <v>214</v>
      </c>
      <c r="K19" s="172"/>
      <c r="L19" s="534">
        <v>273</v>
      </c>
      <c r="M19" s="191">
        <v>299</v>
      </c>
      <c r="N19" s="191">
        <v>327</v>
      </c>
      <c r="O19" s="191">
        <v>378</v>
      </c>
      <c r="P19" s="399"/>
      <c r="Q19" s="444"/>
      <c r="R19" s="262"/>
    </row>
    <row r="20" spans="1:18" s="143" customFormat="1" ht="18">
      <c r="A20" s="519"/>
      <c r="B20" s="312" t="s">
        <v>14</v>
      </c>
      <c r="C20" s="192">
        <v>86</v>
      </c>
      <c r="D20" s="520">
        <v>87</v>
      </c>
      <c r="E20" s="520">
        <v>82</v>
      </c>
      <c r="F20" s="520">
        <v>80</v>
      </c>
      <c r="G20" s="404">
        <v>92</v>
      </c>
      <c r="H20" s="191">
        <v>73</v>
      </c>
      <c r="I20" s="404">
        <v>92</v>
      </c>
      <c r="J20" s="191">
        <v>101</v>
      </c>
      <c r="K20" s="172"/>
      <c r="L20" s="534">
        <v>172</v>
      </c>
      <c r="M20" s="191">
        <v>163</v>
      </c>
      <c r="N20" s="191">
        <v>165</v>
      </c>
      <c r="O20" s="191">
        <v>194</v>
      </c>
      <c r="P20" s="399"/>
      <c r="Q20" s="444"/>
      <c r="R20" s="262"/>
    </row>
    <row r="21" spans="1:18" s="143" customFormat="1" ht="18.75">
      <c r="A21" s="519"/>
      <c r="B21" s="312" t="s">
        <v>49</v>
      </c>
      <c r="C21" s="522">
        <v>0.64700000000000002</v>
      </c>
      <c r="D21" s="523">
        <v>0.61799999999999999</v>
      </c>
      <c r="E21" s="523">
        <v>0.57099999999999995</v>
      </c>
      <c r="F21" s="523">
        <v>0.51700000000000002</v>
      </c>
      <c r="G21" s="699">
        <v>0.54100000000000004</v>
      </c>
      <c r="H21" s="393">
        <v>0.46600000000000003</v>
      </c>
      <c r="I21" s="699">
        <v>0.56100000000000005</v>
      </c>
      <c r="J21" s="393">
        <v>0.47399999999999998</v>
      </c>
      <c r="K21" s="172"/>
      <c r="L21" s="700">
        <v>0.63200000000000001</v>
      </c>
      <c r="M21" s="701">
        <v>0.54300000000000004</v>
      </c>
      <c r="N21" s="393">
        <v>0.505</v>
      </c>
      <c r="O21" s="393">
        <v>0.51200000000000001</v>
      </c>
      <c r="P21" s="399"/>
      <c r="Q21" s="444"/>
      <c r="R21" s="262"/>
    </row>
    <row r="22" spans="1:18" s="143" customFormat="1" ht="18">
      <c r="A22" s="519"/>
      <c r="B22" s="312" t="s">
        <v>50</v>
      </c>
      <c r="C22" s="192">
        <v>29</v>
      </c>
      <c r="D22" s="520">
        <v>28</v>
      </c>
      <c r="E22" s="520">
        <v>23</v>
      </c>
      <c r="F22" s="520">
        <v>20</v>
      </c>
      <c r="G22" s="404">
        <v>33</v>
      </c>
      <c r="H22" s="191">
        <v>15</v>
      </c>
      <c r="I22" s="404">
        <v>39</v>
      </c>
      <c r="J22" s="191">
        <v>33</v>
      </c>
      <c r="K22" s="172"/>
      <c r="L22" s="702">
        <v>57</v>
      </c>
      <c r="M22" s="178">
        <v>43</v>
      </c>
      <c r="N22" s="191">
        <v>48</v>
      </c>
      <c r="O22" s="191">
        <v>72</v>
      </c>
      <c r="P22" s="399"/>
      <c r="Q22" s="444"/>
      <c r="R22" s="262"/>
    </row>
    <row r="23" spans="1:18" s="695" customFormat="1" ht="18">
      <c r="A23" s="515" t="s">
        <v>276</v>
      </c>
      <c r="B23" s="516"/>
      <c r="C23" s="527"/>
      <c r="D23" s="527"/>
      <c r="E23" s="527"/>
      <c r="F23" s="527"/>
      <c r="G23" s="404"/>
      <c r="H23" s="191"/>
      <c r="I23" s="404"/>
      <c r="J23" s="703"/>
      <c r="K23" s="172"/>
      <c r="L23" s="177"/>
      <c r="M23" s="534"/>
      <c r="N23" s="191"/>
      <c r="O23" s="404"/>
      <c r="Q23" s="696"/>
      <c r="R23" s="696"/>
    </row>
    <row r="24" spans="1:18" s="695" customFormat="1" ht="18">
      <c r="A24" s="519"/>
      <c r="B24" s="429" t="s">
        <v>277</v>
      </c>
      <c r="C24" s="527"/>
      <c r="D24" s="527"/>
      <c r="E24" s="527"/>
      <c r="F24" s="527"/>
      <c r="G24" s="803">
        <v>0</v>
      </c>
      <c r="H24" s="192">
        <v>2</v>
      </c>
      <c r="I24" s="520">
        <v>8</v>
      </c>
      <c r="J24" s="191">
        <v>17</v>
      </c>
      <c r="K24" s="229"/>
      <c r="L24" s="527"/>
      <c r="M24" s="521"/>
      <c r="N24" s="191">
        <v>2</v>
      </c>
      <c r="O24" s="404">
        <v>25</v>
      </c>
      <c r="Q24" s="696"/>
      <c r="R24" s="696"/>
    </row>
    <row r="25" spans="1:18" s="695" customFormat="1" ht="18">
      <c r="A25" s="519"/>
      <c r="B25" s="312" t="s">
        <v>14</v>
      </c>
      <c r="C25" s="527"/>
      <c r="D25" s="527"/>
      <c r="E25" s="527"/>
      <c r="F25" s="527"/>
      <c r="G25" s="803">
        <v>-1</v>
      </c>
      <c r="H25" s="192">
        <v>-1</v>
      </c>
      <c r="I25" s="520">
        <v>2</v>
      </c>
      <c r="J25" s="191">
        <v>10</v>
      </c>
      <c r="K25" s="229"/>
      <c r="L25" s="527"/>
      <c r="M25" s="521"/>
      <c r="N25" s="191">
        <v>-2</v>
      </c>
      <c r="O25" s="404">
        <v>12</v>
      </c>
      <c r="Q25" s="696"/>
      <c r="R25" s="696"/>
    </row>
    <row r="26" spans="1:18" s="695" customFormat="1" ht="18">
      <c r="A26" s="519"/>
      <c r="B26" s="312" t="s">
        <v>49</v>
      </c>
      <c r="C26" s="527"/>
      <c r="D26" s="527"/>
      <c r="E26" s="527"/>
      <c r="F26" s="527"/>
      <c r="G26" s="803" t="s">
        <v>299</v>
      </c>
      <c r="H26" s="524">
        <v>-0.47099999999999997</v>
      </c>
      <c r="I26" s="804">
        <v>0.309</v>
      </c>
      <c r="J26" s="701">
        <v>0.56799999999999995</v>
      </c>
      <c r="K26" s="229"/>
      <c r="L26" s="527"/>
      <c r="M26" s="521"/>
      <c r="N26" s="701">
        <v>-0.69199999999999995</v>
      </c>
      <c r="O26" s="701">
        <v>0.48899999999999999</v>
      </c>
      <c r="Q26" s="696"/>
      <c r="R26" s="696"/>
    </row>
    <row r="27" spans="1:18" s="695" customFormat="1" ht="18">
      <c r="A27" s="519"/>
      <c r="B27" s="312" t="s">
        <v>50</v>
      </c>
      <c r="C27" s="527"/>
      <c r="D27" s="527"/>
      <c r="E27" s="527"/>
      <c r="F27" s="527"/>
      <c r="G27" s="803">
        <v>-1</v>
      </c>
      <c r="H27" s="179">
        <v>-4</v>
      </c>
      <c r="I27" s="520">
        <v>-2</v>
      </c>
      <c r="J27" s="178">
        <v>5</v>
      </c>
      <c r="K27" s="229"/>
      <c r="L27" s="527"/>
      <c r="M27" s="521"/>
      <c r="N27" s="191">
        <v>-5</v>
      </c>
      <c r="O27" s="404">
        <v>2</v>
      </c>
      <c r="Q27" s="696"/>
      <c r="R27" s="696"/>
    </row>
    <row r="28" spans="1:18" s="143" customFormat="1" ht="21">
      <c r="A28" s="515"/>
      <c r="B28" s="525" t="s">
        <v>250</v>
      </c>
      <c r="C28" s="526"/>
      <c r="D28" s="526"/>
      <c r="E28" s="526"/>
      <c r="F28" s="526"/>
      <c r="G28" s="704" t="s">
        <v>89</v>
      </c>
      <c r="H28" s="780">
        <v>-1</v>
      </c>
      <c r="I28" s="705">
        <v>-3</v>
      </c>
      <c r="J28" s="705">
        <v>-1</v>
      </c>
      <c r="K28" s="172"/>
      <c r="L28" s="177"/>
      <c r="M28" s="534"/>
      <c r="N28" s="704">
        <v>-1</v>
      </c>
      <c r="O28" s="706">
        <v>-5</v>
      </c>
      <c r="P28" s="399"/>
      <c r="Q28" s="444"/>
      <c r="R28" s="262"/>
    </row>
    <row r="29" spans="1:18" s="143" customFormat="1" ht="21">
      <c r="A29" s="528"/>
      <c r="B29" s="529" t="s">
        <v>251</v>
      </c>
      <c r="C29" s="530"/>
      <c r="D29" s="530"/>
      <c r="E29" s="530"/>
      <c r="F29" s="530"/>
      <c r="G29" s="554" t="s">
        <v>89</v>
      </c>
      <c r="H29" s="781">
        <v>-1</v>
      </c>
      <c r="I29" s="564">
        <v>-3</v>
      </c>
      <c r="J29" s="564">
        <v>-1</v>
      </c>
      <c r="K29" s="172"/>
      <c r="L29" s="177"/>
      <c r="M29" s="534"/>
      <c r="N29" s="554">
        <v>-1</v>
      </c>
      <c r="O29" s="707">
        <v>-5</v>
      </c>
      <c r="P29" s="399"/>
      <c r="Q29" s="444"/>
      <c r="R29" s="262"/>
    </row>
    <row r="30" spans="1:18" s="143" customFormat="1" ht="18">
      <c r="A30" s="514"/>
      <c r="B30" s="300"/>
      <c r="C30" s="464"/>
      <c r="D30" s="464"/>
      <c r="E30" s="464"/>
      <c r="F30" s="464"/>
      <c r="G30" s="464"/>
      <c r="H30" s="464"/>
      <c r="I30" s="464"/>
      <c r="J30" s="464"/>
      <c r="K30" s="229"/>
      <c r="L30" s="464"/>
      <c r="M30" s="478"/>
      <c r="N30" s="464"/>
      <c r="O30" s="464"/>
      <c r="P30" s="399"/>
      <c r="Q30" s="444"/>
      <c r="R30" s="262"/>
    </row>
    <row r="31" spans="1:18" s="143" customFormat="1" ht="18">
      <c r="A31" s="515" t="s">
        <v>132</v>
      </c>
      <c r="B31" s="400"/>
      <c r="C31" s="401"/>
      <c r="D31" s="401"/>
      <c r="E31" s="401"/>
      <c r="F31" s="401"/>
      <c r="G31" s="401"/>
      <c r="H31" s="401"/>
      <c r="I31" s="401"/>
      <c r="J31" s="401"/>
      <c r="K31" s="172"/>
      <c r="L31" s="533"/>
      <c r="M31" s="402"/>
      <c r="N31" s="402"/>
      <c r="O31" s="402"/>
      <c r="P31" s="399"/>
      <c r="Q31" s="444"/>
      <c r="R31" s="262"/>
    </row>
    <row r="32" spans="1:18" s="143" customFormat="1" ht="21">
      <c r="A32" s="519"/>
      <c r="B32" s="411" t="s">
        <v>133</v>
      </c>
      <c r="C32" s="404">
        <v>132</v>
      </c>
      <c r="D32" s="404">
        <v>140</v>
      </c>
      <c r="E32" s="404">
        <v>144</v>
      </c>
      <c r="F32" s="404">
        <v>155</v>
      </c>
      <c r="G32" s="404">
        <v>169</v>
      </c>
      <c r="H32" s="404">
        <v>157</v>
      </c>
      <c r="I32" s="404">
        <v>164</v>
      </c>
      <c r="J32" s="404">
        <v>214</v>
      </c>
      <c r="K32" s="172"/>
      <c r="L32" s="534">
        <v>273</v>
      </c>
      <c r="M32" s="191">
        <v>299</v>
      </c>
      <c r="N32" s="191">
        <v>327</v>
      </c>
      <c r="O32" s="191">
        <v>378</v>
      </c>
      <c r="P32" s="399"/>
      <c r="Q32" s="444"/>
      <c r="R32" s="262"/>
    </row>
    <row r="33" spans="1:18" s="143" customFormat="1" ht="18.75" thickBot="1">
      <c r="A33" s="519"/>
      <c r="B33" s="403" t="s">
        <v>134</v>
      </c>
      <c r="C33" s="404">
        <v>48</v>
      </c>
      <c r="D33" s="404">
        <v>62</v>
      </c>
      <c r="E33" s="404">
        <v>59</v>
      </c>
      <c r="F33" s="404">
        <v>55</v>
      </c>
      <c r="G33" s="404">
        <v>50</v>
      </c>
      <c r="H33" s="404">
        <v>58</v>
      </c>
      <c r="I33" s="404">
        <v>52</v>
      </c>
      <c r="J33" s="404">
        <v>56</v>
      </c>
      <c r="K33" s="172"/>
      <c r="L33" s="534">
        <v>110</v>
      </c>
      <c r="M33" s="191">
        <v>114</v>
      </c>
      <c r="N33" s="191">
        <v>108</v>
      </c>
      <c r="O33" s="191">
        <v>108</v>
      </c>
      <c r="P33" s="399"/>
      <c r="Q33" s="444"/>
      <c r="R33" s="262"/>
    </row>
    <row r="34" spans="1:18" ht="18.75" thickBot="1">
      <c r="A34" s="535"/>
      <c r="B34" s="165"/>
      <c r="C34" s="536">
        <v>180</v>
      </c>
      <c r="D34" s="536">
        <v>203</v>
      </c>
      <c r="E34" s="536">
        <v>203</v>
      </c>
      <c r="F34" s="536">
        <v>211</v>
      </c>
      <c r="G34" s="793">
        <v>219</v>
      </c>
      <c r="H34" s="794">
        <v>215</v>
      </c>
      <c r="I34" s="794">
        <v>216</v>
      </c>
      <c r="J34" s="794">
        <v>270</v>
      </c>
      <c r="K34" s="172"/>
      <c r="L34" s="537">
        <v>383</v>
      </c>
      <c r="M34" s="538">
        <v>413</v>
      </c>
      <c r="N34" s="793">
        <v>434</v>
      </c>
      <c r="O34" s="793">
        <v>486</v>
      </c>
      <c r="P34" s="228"/>
      <c r="Q34" s="444"/>
      <c r="R34" s="262"/>
    </row>
    <row r="35" spans="1:18" ht="18">
      <c r="A35" s="535"/>
      <c r="B35" s="165"/>
      <c r="C35" s="491"/>
      <c r="D35" s="491"/>
      <c r="E35" s="491"/>
      <c r="F35" s="491"/>
      <c r="G35" s="491"/>
      <c r="H35" s="491"/>
      <c r="I35" s="491"/>
      <c r="J35" s="491"/>
      <c r="K35" s="172"/>
      <c r="L35" s="539"/>
      <c r="M35" s="194"/>
      <c r="N35" s="194"/>
      <c r="O35" s="194"/>
      <c r="P35" s="228"/>
      <c r="Q35" s="444"/>
      <c r="R35" s="262"/>
    </row>
    <row r="36" spans="1:18" ht="18">
      <c r="A36" s="519" t="s">
        <v>135</v>
      </c>
      <c r="B36" s="425"/>
      <c r="C36" s="493"/>
      <c r="D36" s="493"/>
      <c r="E36" s="493"/>
      <c r="F36" s="493"/>
      <c r="G36" s="493"/>
      <c r="H36" s="493"/>
      <c r="I36" s="493"/>
      <c r="J36" s="493"/>
      <c r="K36" s="172"/>
      <c r="L36" s="540"/>
      <c r="M36" s="218"/>
      <c r="N36" s="218"/>
      <c r="O36" s="218"/>
      <c r="P36" s="228"/>
      <c r="Q36" s="444"/>
      <c r="R36" s="262"/>
    </row>
    <row r="37" spans="1:18" ht="18">
      <c r="A37" s="519"/>
      <c r="B37" s="165" t="s">
        <v>136</v>
      </c>
      <c r="C37" s="404">
        <v>33</v>
      </c>
      <c r="D37" s="404">
        <v>32</v>
      </c>
      <c r="E37" s="404">
        <v>32</v>
      </c>
      <c r="F37" s="404">
        <v>42</v>
      </c>
      <c r="G37" s="404">
        <v>45</v>
      </c>
      <c r="H37" s="404">
        <v>43</v>
      </c>
      <c r="I37" s="404">
        <v>42</v>
      </c>
      <c r="J37" s="404">
        <v>42</v>
      </c>
      <c r="K37" s="172"/>
      <c r="L37" s="541">
        <v>65</v>
      </c>
      <c r="M37" s="191">
        <v>74</v>
      </c>
      <c r="N37" s="191">
        <v>89</v>
      </c>
      <c r="O37" s="191">
        <v>84</v>
      </c>
      <c r="P37" s="228"/>
      <c r="Q37" s="444"/>
      <c r="R37" s="262"/>
    </row>
    <row r="38" spans="1:18" ht="18">
      <c r="A38" s="535"/>
      <c r="B38" s="403" t="s">
        <v>78</v>
      </c>
      <c r="C38" s="495">
        <v>11</v>
      </c>
      <c r="D38" s="495">
        <v>15</v>
      </c>
      <c r="E38" s="495">
        <v>19</v>
      </c>
      <c r="F38" s="495">
        <v>24</v>
      </c>
      <c r="G38" s="495">
        <v>26</v>
      </c>
      <c r="H38" s="495">
        <v>28</v>
      </c>
      <c r="I38" s="495">
        <v>31</v>
      </c>
      <c r="J38" s="495">
        <v>31</v>
      </c>
      <c r="K38" s="172"/>
      <c r="L38" s="542">
        <v>26</v>
      </c>
      <c r="M38" s="224">
        <v>42</v>
      </c>
      <c r="N38" s="224">
        <v>54</v>
      </c>
      <c r="O38" s="224">
        <v>62</v>
      </c>
      <c r="P38" s="228"/>
      <c r="Q38" s="444"/>
      <c r="R38" s="262"/>
    </row>
    <row r="39" spans="1:18" ht="18">
      <c r="A39" s="535"/>
      <c r="B39" s="411" t="s">
        <v>137</v>
      </c>
      <c r="C39" s="495">
        <v>12</v>
      </c>
      <c r="D39" s="495">
        <v>18</v>
      </c>
      <c r="E39" s="495">
        <v>24</v>
      </c>
      <c r="F39" s="495">
        <v>22</v>
      </c>
      <c r="G39" s="495">
        <v>24</v>
      </c>
      <c r="H39" s="495">
        <v>33</v>
      </c>
      <c r="I39" s="495">
        <v>21</v>
      </c>
      <c r="J39" s="495">
        <v>30</v>
      </c>
      <c r="K39" s="172"/>
      <c r="L39" s="542">
        <v>30</v>
      </c>
      <c r="M39" s="224">
        <v>47</v>
      </c>
      <c r="N39" s="224">
        <v>57</v>
      </c>
      <c r="O39" s="224">
        <v>51</v>
      </c>
      <c r="P39" s="228"/>
      <c r="Q39" s="444"/>
      <c r="R39" s="262"/>
    </row>
    <row r="40" spans="1:18" ht="21.75" thickBot="1">
      <c r="A40" s="535"/>
      <c r="B40" s="429" t="s">
        <v>279</v>
      </c>
      <c r="C40" s="495">
        <v>5</v>
      </c>
      <c r="D40" s="495">
        <v>17</v>
      </c>
      <c r="E40" s="495">
        <v>8</v>
      </c>
      <c r="F40" s="495">
        <v>7</v>
      </c>
      <c r="G40" s="495">
        <f>7+9</f>
        <v>16</v>
      </c>
      <c r="H40" s="495">
        <v>19</v>
      </c>
      <c r="I40" s="495">
        <f>5+8</f>
        <v>13</v>
      </c>
      <c r="J40" s="495">
        <v>44</v>
      </c>
      <c r="K40" s="172"/>
      <c r="L40" s="542">
        <v>22</v>
      </c>
      <c r="M40" s="224">
        <v>14</v>
      </c>
      <c r="N40" s="224">
        <v>34</v>
      </c>
      <c r="O40" s="224">
        <v>56</v>
      </c>
      <c r="P40" s="228"/>
      <c r="Q40" s="444"/>
      <c r="R40" s="262"/>
    </row>
    <row r="41" spans="1:18" ht="18">
      <c r="A41" s="543"/>
      <c r="B41" s="433"/>
      <c r="C41" s="544">
        <v>73</v>
      </c>
      <c r="D41" s="544">
        <v>92</v>
      </c>
      <c r="E41" s="544">
        <v>93</v>
      </c>
      <c r="F41" s="544">
        <v>105</v>
      </c>
      <c r="G41" s="500">
        <v>111</v>
      </c>
      <c r="H41" s="499">
        <v>123</v>
      </c>
      <c r="I41" s="499">
        <v>107</v>
      </c>
      <c r="J41" s="499">
        <v>146</v>
      </c>
      <c r="K41" s="172"/>
      <c r="L41" s="545">
        <v>166</v>
      </c>
      <c r="M41" s="436">
        <v>197</v>
      </c>
      <c r="N41" s="500">
        <v>234</v>
      </c>
      <c r="O41" s="500">
        <v>254</v>
      </c>
      <c r="P41" s="228"/>
      <c r="Q41" s="444"/>
      <c r="R41" s="262"/>
    </row>
    <row r="42" spans="1:18" ht="18">
      <c r="A42" s="166"/>
      <c r="B42" s="166"/>
      <c r="C42" s="189"/>
      <c r="D42" s="189"/>
      <c r="E42" s="189"/>
      <c r="F42" s="189"/>
      <c r="G42" s="189"/>
      <c r="H42" s="189"/>
      <c r="I42" s="189"/>
      <c r="J42" s="189"/>
      <c r="K42" s="172"/>
      <c r="L42" s="189"/>
      <c r="M42" s="189"/>
      <c r="N42" s="189"/>
      <c r="O42" s="189"/>
      <c r="P42" s="228"/>
      <c r="Q42" s="228"/>
    </row>
    <row r="43" spans="1:18" s="139" customFormat="1" ht="18">
      <c r="A43" s="546"/>
      <c r="B43" s="136" t="s">
        <v>138</v>
      </c>
      <c r="C43" s="215"/>
      <c r="D43" s="215"/>
      <c r="E43" s="215"/>
      <c r="F43" s="215"/>
      <c r="G43" s="215"/>
      <c r="H43" s="215"/>
      <c r="I43" s="215"/>
      <c r="J43" s="215"/>
      <c r="K43" s="166"/>
      <c r="L43" s="166"/>
      <c r="M43" s="166"/>
      <c r="N43" s="166"/>
      <c r="O43" s="166"/>
      <c r="P43" s="166"/>
      <c r="Q43" s="166"/>
    </row>
    <row r="44" spans="1:18" s="139" customFormat="1" ht="18">
      <c r="A44" s="166"/>
      <c r="B44" s="136" t="s">
        <v>280</v>
      </c>
      <c r="C44" s="215"/>
      <c r="D44" s="215"/>
      <c r="E44" s="215"/>
      <c r="F44" s="215"/>
      <c r="G44" s="215"/>
      <c r="H44" s="215"/>
      <c r="I44" s="215"/>
      <c r="J44" s="215"/>
      <c r="K44" s="208"/>
      <c r="L44" s="166"/>
      <c r="M44" s="166"/>
      <c r="N44" s="166"/>
      <c r="O44" s="166"/>
      <c r="P44" s="166"/>
      <c r="Q44" s="166"/>
    </row>
    <row r="45" spans="1:18" s="139" customFormat="1" ht="18">
      <c r="A45" s="166"/>
      <c r="B45" s="136" t="s">
        <v>281</v>
      </c>
      <c r="C45" s="215"/>
      <c r="D45" s="215"/>
      <c r="E45" s="215"/>
      <c r="F45" s="215"/>
      <c r="G45" s="215"/>
      <c r="H45" s="215"/>
      <c r="I45" s="215"/>
      <c r="J45" s="215"/>
      <c r="K45" s="166"/>
      <c r="L45" s="166"/>
      <c r="M45" s="166"/>
      <c r="N45" s="166"/>
      <c r="O45" s="166"/>
      <c r="P45" s="166"/>
      <c r="Q45" s="166"/>
    </row>
    <row r="46" spans="1:18" s="139" customFormat="1" ht="18">
      <c r="A46" s="166"/>
      <c r="B46" s="136" t="s">
        <v>139</v>
      </c>
      <c r="C46" s="215"/>
      <c r="D46" s="215"/>
      <c r="E46" s="215"/>
      <c r="F46" s="215"/>
      <c r="G46" s="215"/>
      <c r="H46" s="215"/>
      <c r="I46" s="215"/>
      <c r="J46" s="215"/>
      <c r="K46" s="166"/>
      <c r="L46" s="166"/>
      <c r="M46" s="166"/>
      <c r="N46" s="166"/>
      <c r="O46" s="166"/>
      <c r="P46" s="166"/>
      <c r="Q46" s="166"/>
    </row>
    <row r="47" spans="1:18" s="139" customFormat="1" ht="18">
      <c r="A47" s="166"/>
      <c r="B47" s="136" t="s">
        <v>140</v>
      </c>
      <c r="C47" s="215"/>
      <c r="D47" s="215"/>
      <c r="E47" s="215"/>
      <c r="F47" s="215"/>
      <c r="G47" s="215"/>
      <c r="H47" s="215"/>
      <c r="I47" s="215"/>
      <c r="J47" s="215"/>
      <c r="K47" s="166"/>
      <c r="L47" s="166"/>
      <c r="M47" s="166"/>
      <c r="N47" s="166"/>
      <c r="O47" s="166"/>
      <c r="P47" s="166"/>
      <c r="Q47" s="166"/>
    </row>
    <row r="48" spans="1:18" s="139" customFormat="1" ht="18">
      <c r="A48" s="166"/>
      <c r="B48" s="166" t="s">
        <v>282</v>
      </c>
      <c r="C48" s="166"/>
      <c r="D48" s="215"/>
      <c r="E48" s="215"/>
      <c r="F48" s="215"/>
      <c r="G48" s="215"/>
      <c r="H48" s="215"/>
      <c r="I48" s="215"/>
      <c r="J48" s="215"/>
      <c r="K48" s="166"/>
      <c r="L48" s="166"/>
      <c r="M48" s="166"/>
      <c r="N48" s="166"/>
      <c r="O48" s="166"/>
      <c r="P48" s="166"/>
      <c r="Q48" s="166"/>
    </row>
    <row r="49" spans="1:17" s="163" customFormat="1" ht="18">
      <c r="A49" s="166"/>
      <c r="B49" s="166" t="s">
        <v>278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</row>
    <row r="50" spans="1:17" s="163" customFormat="1" ht="18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208"/>
      <c r="M50" s="208"/>
      <c r="N50" s="208"/>
      <c r="O50" s="208"/>
      <c r="P50" s="166"/>
      <c r="Q50" s="166"/>
    </row>
    <row r="51" spans="1:17" s="139" customFormat="1" ht="18">
      <c r="A51" s="166"/>
      <c r="B51" s="136" t="s">
        <v>255</v>
      </c>
      <c r="C51" s="166"/>
      <c r="D51" s="215"/>
      <c r="E51" s="215"/>
      <c r="F51" s="215"/>
      <c r="G51" s="215"/>
      <c r="H51" s="215"/>
      <c r="I51" s="215"/>
      <c r="J51" s="215"/>
      <c r="K51" s="166"/>
      <c r="L51" s="166"/>
      <c r="M51" s="166"/>
      <c r="N51" s="166"/>
      <c r="O51" s="166"/>
      <c r="P51" s="166"/>
      <c r="Q51" s="166"/>
    </row>
    <row r="52" spans="1:17" ht="18">
      <c r="B52" s="166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</row>
    <row r="53" spans="1:17"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</row>
    <row r="54" spans="1:17"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</row>
    <row r="55" spans="1:17"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</row>
    <row r="56" spans="1:17"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</row>
    <row r="57" spans="1:17"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</row>
  </sheetData>
  <mergeCells count="4">
    <mergeCell ref="C5:D5"/>
    <mergeCell ref="E5:F5"/>
    <mergeCell ref="G5:H5"/>
    <mergeCell ref="I5:J5"/>
  </mergeCells>
  <pageMargins left="0.70866141732283505" right="0.70866141732283505" top="0.74803149606299202" bottom="0.74803149606299202" header="0.31496062992126" footer="0.31496062992126"/>
  <pageSetup paperSize="9" scale="54" orientation="landscape" r:id="rId1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7"/>
  <sheetViews>
    <sheetView view="pageBreakPreview" zoomScale="85" zoomScaleNormal="100" zoomScaleSheetLayoutView="85" workbookViewId="0">
      <pane xSplit="3" ySplit="6" topLeftCell="D21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28515625" defaultRowHeight="16.5"/>
  <cols>
    <col min="1" max="1" width="1.7109375" style="137" customWidth="1"/>
    <col min="2" max="2" width="10.5703125" style="137" customWidth="1"/>
    <col min="3" max="3" width="59.28515625" style="137" customWidth="1"/>
    <col min="4" max="7" width="16.140625" style="137" hidden="1" customWidth="1"/>
    <col min="8" max="8" width="14.85546875" style="137" customWidth="1"/>
    <col min="9" max="9" width="16.140625" style="137" customWidth="1"/>
    <col min="10" max="11" width="18" style="137" customWidth="1"/>
    <col min="12" max="12" width="18.28515625" style="137" customWidth="1"/>
    <col min="13" max="13" width="18.28515625" style="137" hidden="1" customWidth="1"/>
    <col min="14" max="14" width="20.140625" style="137" hidden="1" customWidth="1"/>
    <col min="15" max="15" width="18.28515625" style="137" customWidth="1"/>
    <col min="16" max="16" width="17.140625" style="137" customWidth="1"/>
    <col min="17" max="17" width="4.5703125" style="137" customWidth="1"/>
    <col min="18" max="16384" width="9.28515625" style="137"/>
  </cols>
  <sheetData>
    <row r="1" spans="1:18" ht="21" customHeight="1">
      <c r="A1" s="372" t="s">
        <v>162</v>
      </c>
      <c r="B1" s="773"/>
    </row>
    <row r="2" spans="1:18" ht="8.25" customHeight="1">
      <c r="A2" s="163"/>
      <c r="B2" s="163"/>
      <c r="M2" s="220"/>
      <c r="N2" s="220"/>
      <c r="O2" s="220"/>
      <c r="P2" s="220"/>
    </row>
    <row r="3" spans="1:18" s="239" customFormat="1" ht="18">
      <c r="A3" s="142" t="s">
        <v>163</v>
      </c>
      <c r="B3" s="232"/>
      <c r="M3" s="220"/>
      <c r="N3" s="220"/>
      <c r="O3" s="220"/>
      <c r="P3" s="220"/>
    </row>
    <row r="4" spans="1:18" ht="13.5" customHeight="1">
      <c r="A4" s="372"/>
      <c r="B4" s="163"/>
      <c r="C4" s="163"/>
      <c r="D4" s="139"/>
      <c r="E4" s="139"/>
      <c r="F4" s="139"/>
      <c r="G4" s="139"/>
      <c r="H4" s="139"/>
      <c r="I4" s="139"/>
      <c r="J4" s="139"/>
      <c r="K4" s="139"/>
      <c r="M4" s="141"/>
      <c r="N4" s="141"/>
      <c r="O4" s="141"/>
      <c r="P4" s="141"/>
    </row>
    <row r="5" spans="1:18" s="141" customFormat="1" ht="18" customHeight="1">
      <c r="A5" s="547"/>
      <c r="B5" s="145"/>
      <c r="C5" s="145"/>
      <c r="D5" s="805" t="s">
        <v>8</v>
      </c>
      <c r="E5" s="806"/>
      <c r="F5" s="807" t="s">
        <v>2</v>
      </c>
      <c r="G5" s="808"/>
      <c r="H5" s="807" t="s">
        <v>3</v>
      </c>
      <c r="I5" s="809"/>
      <c r="J5" s="807" t="s">
        <v>4</v>
      </c>
      <c r="K5" s="808"/>
      <c r="M5" s="148"/>
      <c r="N5" s="148"/>
      <c r="O5" s="148"/>
      <c r="P5" s="148"/>
      <c r="Q5" s="137"/>
      <c r="R5" s="137"/>
    </row>
    <row r="6" spans="1:18" s="141" customFormat="1" ht="18">
      <c r="A6" s="156"/>
      <c r="B6" s="157"/>
      <c r="C6" s="548"/>
      <c r="D6" s="236" t="s">
        <v>6</v>
      </c>
      <c r="E6" s="236" t="s">
        <v>7</v>
      </c>
      <c r="F6" s="236" t="s">
        <v>6</v>
      </c>
      <c r="G6" s="236" t="s">
        <v>7</v>
      </c>
      <c r="H6" s="236" t="s">
        <v>6</v>
      </c>
      <c r="I6" s="236" t="s">
        <v>7</v>
      </c>
      <c r="J6" s="236" t="s">
        <v>6</v>
      </c>
      <c r="K6" s="236" t="s">
        <v>7</v>
      </c>
      <c r="M6" s="441" t="s">
        <v>8</v>
      </c>
      <c r="N6" s="161" t="s">
        <v>2</v>
      </c>
      <c r="O6" s="161" t="s">
        <v>3</v>
      </c>
      <c r="P6" s="161" t="s">
        <v>4</v>
      </c>
    </row>
    <row r="7" spans="1:18" ht="16.5" customHeight="1">
      <c r="A7" s="549" t="s">
        <v>164</v>
      </c>
      <c r="B7" s="139"/>
      <c r="C7" s="139"/>
      <c r="D7" s="550"/>
      <c r="E7" s="550"/>
      <c r="F7" s="550"/>
      <c r="G7" s="550"/>
      <c r="H7" s="550"/>
      <c r="I7" s="550"/>
      <c r="J7" s="550"/>
      <c r="K7" s="550"/>
      <c r="M7" s="551"/>
      <c r="N7" s="551"/>
      <c r="O7" s="551"/>
      <c r="P7" s="551"/>
    </row>
    <row r="8" spans="1:18" ht="16.5" customHeight="1">
      <c r="A8" s="202"/>
      <c r="B8" s="139" t="s">
        <v>165</v>
      </c>
      <c r="C8" s="139"/>
      <c r="D8" s="552">
        <v>456</v>
      </c>
      <c r="E8" s="552">
        <v>406</v>
      </c>
      <c r="F8" s="416">
        <v>431</v>
      </c>
      <c r="G8" s="416">
        <v>375</v>
      </c>
      <c r="H8" s="416">
        <v>354</v>
      </c>
      <c r="I8" s="416">
        <v>317</v>
      </c>
      <c r="J8" s="416">
        <v>291</v>
      </c>
      <c r="K8" s="416">
        <v>304</v>
      </c>
      <c r="L8" s="172"/>
      <c r="M8" s="416">
        <v>862</v>
      </c>
      <c r="N8" s="416">
        <v>806</v>
      </c>
      <c r="O8" s="416">
        <v>672</v>
      </c>
      <c r="P8" s="416">
        <v>595</v>
      </c>
      <c r="Q8" s="553"/>
      <c r="R8" s="553"/>
    </row>
    <row r="9" spans="1:18" ht="21">
      <c r="A9" s="202"/>
      <c r="B9" s="139" t="s">
        <v>166</v>
      </c>
      <c r="C9" s="139"/>
      <c r="D9" s="552">
        <v>139</v>
      </c>
      <c r="E9" s="552">
        <v>158</v>
      </c>
      <c r="F9" s="416">
        <v>171</v>
      </c>
      <c r="G9" s="416">
        <v>168</v>
      </c>
      <c r="H9" s="416">
        <v>185</v>
      </c>
      <c r="I9" s="416">
        <v>226</v>
      </c>
      <c r="J9" s="416">
        <v>268</v>
      </c>
      <c r="K9" s="416">
        <v>324</v>
      </c>
      <c r="L9" s="172"/>
      <c r="M9" s="416">
        <v>297</v>
      </c>
      <c r="N9" s="416">
        <v>339</v>
      </c>
      <c r="O9" s="416">
        <v>411</v>
      </c>
      <c r="P9" s="416">
        <v>592</v>
      </c>
      <c r="Q9" s="553"/>
      <c r="R9" s="553"/>
    </row>
    <row r="10" spans="1:18" ht="21">
      <c r="A10" s="202"/>
      <c r="B10" s="166" t="s">
        <v>284</v>
      </c>
      <c r="C10" s="139"/>
      <c r="D10" s="552">
        <v>336</v>
      </c>
      <c r="E10" s="552">
        <v>358</v>
      </c>
      <c r="F10" s="416">
        <v>377</v>
      </c>
      <c r="G10" s="416">
        <v>378</v>
      </c>
      <c r="H10" s="416">
        <v>396</v>
      </c>
      <c r="I10" s="416">
        <v>596</v>
      </c>
      <c r="J10" s="416">
        <v>699</v>
      </c>
      <c r="K10" s="416">
        <v>739</v>
      </c>
      <c r="L10" s="172"/>
      <c r="M10" s="416">
        <v>694</v>
      </c>
      <c r="N10" s="416">
        <v>755</v>
      </c>
      <c r="O10" s="416">
        <v>991</v>
      </c>
      <c r="P10" s="416">
        <v>1439</v>
      </c>
      <c r="Q10" s="553"/>
      <c r="R10" s="553"/>
    </row>
    <row r="11" spans="1:18" ht="21.75" customHeight="1">
      <c r="A11" s="202"/>
      <c r="B11" s="166" t="s">
        <v>252</v>
      </c>
      <c r="C11" s="139"/>
      <c r="D11" s="552">
        <v>172</v>
      </c>
      <c r="E11" s="552">
        <v>129</v>
      </c>
      <c r="F11" s="416">
        <v>141</v>
      </c>
      <c r="G11" s="416">
        <v>146</v>
      </c>
      <c r="H11" s="416">
        <v>156</v>
      </c>
      <c r="I11" s="416">
        <v>113</v>
      </c>
      <c r="J11" s="416">
        <v>136</v>
      </c>
      <c r="K11" s="416">
        <v>139</v>
      </c>
      <c r="L11" s="172"/>
      <c r="M11" s="416">
        <v>301</v>
      </c>
      <c r="N11" s="416">
        <v>287</v>
      </c>
      <c r="O11" s="416">
        <v>269</v>
      </c>
      <c r="P11" s="416">
        <v>276</v>
      </c>
      <c r="Q11" s="553"/>
      <c r="R11" s="553"/>
    </row>
    <row r="12" spans="1:18" s="141" customFormat="1" ht="21">
      <c r="A12" s="202"/>
      <c r="B12" s="166" t="s">
        <v>253</v>
      </c>
      <c r="C12" s="139"/>
      <c r="D12" s="179">
        <v>52</v>
      </c>
      <c r="E12" s="179">
        <v>61</v>
      </c>
      <c r="F12" s="178">
        <v>68</v>
      </c>
      <c r="G12" s="178">
        <v>80</v>
      </c>
      <c r="H12" s="178">
        <v>73</v>
      </c>
      <c r="I12" s="178">
        <v>77</v>
      </c>
      <c r="J12" s="178">
        <v>0</v>
      </c>
      <c r="K12" s="178">
        <v>0</v>
      </c>
      <c r="L12" s="172"/>
      <c r="M12" s="178">
        <v>113</v>
      </c>
      <c r="N12" s="178">
        <v>147</v>
      </c>
      <c r="O12" s="178">
        <v>150</v>
      </c>
      <c r="P12" s="178">
        <v>0</v>
      </c>
      <c r="Q12" s="553"/>
      <c r="R12" s="553"/>
    </row>
    <row r="13" spans="1:18" ht="16.5" customHeight="1">
      <c r="A13" s="202"/>
      <c r="B13" s="166" t="s">
        <v>169</v>
      </c>
      <c r="C13" s="139"/>
      <c r="D13" s="552">
        <v>1155</v>
      </c>
      <c r="E13" s="552">
        <v>1112</v>
      </c>
      <c r="F13" s="416">
        <v>1187</v>
      </c>
      <c r="G13" s="416">
        <v>1147</v>
      </c>
      <c r="H13" s="416">
        <v>1164</v>
      </c>
      <c r="I13" s="416">
        <v>1329</v>
      </c>
      <c r="J13" s="416">
        <v>1394</v>
      </c>
      <c r="K13" s="416">
        <v>1507</v>
      </c>
      <c r="L13" s="172"/>
      <c r="M13" s="416">
        <v>2267</v>
      </c>
      <c r="N13" s="416">
        <v>2334</v>
      </c>
      <c r="O13" s="416">
        <v>2494</v>
      </c>
      <c r="P13" s="416">
        <v>2901</v>
      </c>
      <c r="Q13" s="553"/>
      <c r="R13" s="553"/>
    </row>
    <row r="14" spans="1:18" ht="16.5" customHeight="1">
      <c r="A14" s="202"/>
      <c r="B14" s="166" t="s">
        <v>38</v>
      </c>
      <c r="C14" s="139"/>
      <c r="D14" s="531">
        <v>2</v>
      </c>
      <c r="E14" s="531">
        <v>18</v>
      </c>
      <c r="F14" s="554">
        <v>8</v>
      </c>
      <c r="G14" s="554">
        <v>-4</v>
      </c>
      <c r="H14" s="554">
        <v>4</v>
      </c>
      <c r="I14" s="554">
        <v>1</v>
      </c>
      <c r="J14" s="554">
        <v>-15</v>
      </c>
      <c r="K14" s="554">
        <v>1</v>
      </c>
      <c r="L14" s="172"/>
      <c r="M14" s="554">
        <v>20</v>
      </c>
      <c r="N14" s="554">
        <v>4</v>
      </c>
      <c r="O14" s="554">
        <v>5</v>
      </c>
      <c r="P14" s="554">
        <v>-15</v>
      </c>
      <c r="Q14" s="553"/>
      <c r="R14" s="553"/>
    </row>
    <row r="15" spans="1:18" ht="16.5" customHeight="1">
      <c r="A15" s="202"/>
      <c r="B15" s="713" t="s">
        <v>170</v>
      </c>
      <c r="C15" s="555"/>
      <c r="D15" s="556">
        <v>1157</v>
      </c>
      <c r="E15" s="556">
        <v>1130</v>
      </c>
      <c r="F15" s="557">
        <v>1195</v>
      </c>
      <c r="G15" s="557">
        <v>1143</v>
      </c>
      <c r="H15" s="557">
        <v>1169</v>
      </c>
      <c r="I15" s="557">
        <v>1330</v>
      </c>
      <c r="J15" s="557">
        <v>1379</v>
      </c>
      <c r="K15" s="557">
        <v>1508</v>
      </c>
      <c r="L15" s="172"/>
      <c r="M15" s="557">
        <v>2287</v>
      </c>
      <c r="N15" s="557">
        <v>2338</v>
      </c>
      <c r="O15" s="557">
        <v>2499</v>
      </c>
      <c r="P15" s="557">
        <v>2887</v>
      </c>
      <c r="Q15" s="553"/>
      <c r="R15" s="553"/>
    </row>
    <row r="16" spans="1:18" ht="16.5" customHeight="1">
      <c r="A16" s="202"/>
      <c r="B16" s="166"/>
      <c r="C16" s="139"/>
      <c r="D16" s="552"/>
      <c r="E16" s="552"/>
      <c r="F16" s="416"/>
      <c r="G16" s="416"/>
      <c r="H16" s="416"/>
      <c r="I16" s="416"/>
      <c r="J16" s="416"/>
      <c r="K16" s="416"/>
      <c r="L16" s="172"/>
      <c r="M16" s="416"/>
      <c r="N16" s="416"/>
      <c r="O16" s="416"/>
      <c r="P16" s="416"/>
      <c r="R16" s="553"/>
    </row>
    <row r="17" spans="1:18" ht="16.5" customHeight="1">
      <c r="A17" s="549" t="s">
        <v>171</v>
      </c>
      <c r="B17" s="166"/>
      <c r="C17" s="139"/>
      <c r="D17" s="558"/>
      <c r="E17" s="558"/>
      <c r="F17" s="559"/>
      <c r="G17" s="559"/>
      <c r="H17" s="559"/>
      <c r="I17" s="559"/>
      <c r="J17" s="559"/>
      <c r="K17" s="559"/>
      <c r="L17" s="172"/>
      <c r="M17" s="559"/>
      <c r="N17" s="559"/>
      <c r="O17" s="559"/>
      <c r="P17" s="559"/>
      <c r="R17" s="553"/>
    </row>
    <row r="18" spans="1:18" ht="16.5" customHeight="1">
      <c r="A18" s="202"/>
      <c r="B18" s="166" t="s">
        <v>165</v>
      </c>
      <c r="C18" s="139"/>
      <c r="D18" s="552">
        <v>350</v>
      </c>
      <c r="E18" s="552">
        <v>315</v>
      </c>
      <c r="F18" s="416">
        <v>336</v>
      </c>
      <c r="G18" s="416">
        <v>292</v>
      </c>
      <c r="H18" s="416">
        <v>276</v>
      </c>
      <c r="I18" s="416">
        <v>268</v>
      </c>
      <c r="J18" s="416">
        <v>228</v>
      </c>
      <c r="K18" s="416">
        <v>232</v>
      </c>
      <c r="L18" s="172"/>
      <c r="M18" s="416">
        <v>664</v>
      </c>
      <c r="N18" s="416">
        <v>628</v>
      </c>
      <c r="O18" s="416">
        <v>545</v>
      </c>
      <c r="P18" s="416">
        <v>460</v>
      </c>
      <c r="Q18" s="553"/>
      <c r="R18" s="553"/>
    </row>
    <row r="19" spans="1:18" ht="21">
      <c r="A19" s="202"/>
      <c r="B19" s="166" t="s">
        <v>166</v>
      </c>
      <c r="C19" s="139"/>
      <c r="D19" s="552">
        <v>113</v>
      </c>
      <c r="E19" s="552">
        <v>128</v>
      </c>
      <c r="F19" s="416">
        <v>138</v>
      </c>
      <c r="G19" s="416">
        <v>136</v>
      </c>
      <c r="H19" s="416">
        <v>152</v>
      </c>
      <c r="I19" s="416">
        <v>183</v>
      </c>
      <c r="J19" s="416">
        <v>215</v>
      </c>
      <c r="K19" s="416">
        <v>260</v>
      </c>
      <c r="L19" s="172"/>
      <c r="M19" s="416">
        <v>240</v>
      </c>
      <c r="N19" s="416">
        <v>274</v>
      </c>
      <c r="O19" s="416">
        <v>334</v>
      </c>
      <c r="P19" s="416">
        <v>474</v>
      </c>
      <c r="Q19" s="553"/>
      <c r="R19" s="553"/>
    </row>
    <row r="20" spans="1:18" ht="21">
      <c r="A20" s="202"/>
      <c r="B20" s="166" t="s">
        <v>284</v>
      </c>
      <c r="C20" s="139"/>
      <c r="D20" s="552">
        <v>172</v>
      </c>
      <c r="E20" s="552">
        <v>213</v>
      </c>
      <c r="F20" s="416">
        <v>213</v>
      </c>
      <c r="G20" s="416">
        <v>227</v>
      </c>
      <c r="H20" s="416">
        <v>199</v>
      </c>
      <c r="I20" s="416">
        <v>336</v>
      </c>
      <c r="J20" s="416">
        <v>359</v>
      </c>
      <c r="K20" s="416">
        <v>434</v>
      </c>
      <c r="L20" s="172"/>
      <c r="M20" s="416">
        <v>385</v>
      </c>
      <c r="N20" s="416">
        <v>440</v>
      </c>
      <c r="O20" s="416">
        <v>535</v>
      </c>
      <c r="P20" s="416">
        <v>794</v>
      </c>
      <c r="Q20" s="553"/>
      <c r="R20" s="553"/>
    </row>
    <row r="21" spans="1:18" ht="16.5" customHeight="1">
      <c r="A21" s="202"/>
      <c r="B21" s="166" t="s">
        <v>252</v>
      </c>
      <c r="C21" s="139"/>
      <c r="D21" s="552">
        <v>133</v>
      </c>
      <c r="E21" s="552">
        <v>99</v>
      </c>
      <c r="F21" s="416">
        <v>109</v>
      </c>
      <c r="G21" s="416">
        <v>113</v>
      </c>
      <c r="H21" s="416">
        <v>130</v>
      </c>
      <c r="I21" s="416">
        <v>91</v>
      </c>
      <c r="J21" s="416">
        <v>113</v>
      </c>
      <c r="K21" s="416">
        <v>114</v>
      </c>
      <c r="L21" s="172"/>
      <c r="M21" s="416">
        <v>232</v>
      </c>
      <c r="N21" s="416">
        <v>222</v>
      </c>
      <c r="O21" s="416">
        <v>221</v>
      </c>
      <c r="P21" s="416">
        <v>227</v>
      </c>
      <c r="Q21" s="553"/>
      <c r="R21" s="553"/>
    </row>
    <row r="22" spans="1:18" ht="16.5" hidden="1" customHeight="1">
      <c r="A22" s="202"/>
      <c r="B22" s="166" t="s">
        <v>168</v>
      </c>
      <c r="C22" s="139"/>
      <c r="D22" s="552"/>
      <c r="E22" s="552"/>
      <c r="F22" s="416"/>
      <c r="G22" s="416"/>
      <c r="H22" s="416"/>
      <c r="I22" s="416"/>
      <c r="J22" s="416"/>
      <c r="K22" s="416"/>
      <c r="L22" s="172"/>
      <c r="M22" s="416"/>
      <c r="N22" s="416"/>
      <c r="O22" s="416"/>
      <c r="P22" s="416"/>
      <c r="Q22" s="553"/>
      <c r="R22" s="553"/>
    </row>
    <row r="23" spans="1:18" s="141" customFormat="1" ht="21">
      <c r="A23" s="202"/>
      <c r="B23" s="166" t="s">
        <v>253</v>
      </c>
      <c r="C23" s="139"/>
      <c r="D23" s="179">
        <v>42</v>
      </c>
      <c r="E23" s="179">
        <v>49</v>
      </c>
      <c r="F23" s="178">
        <v>55</v>
      </c>
      <c r="G23" s="178">
        <v>67</v>
      </c>
      <c r="H23" s="178">
        <v>60</v>
      </c>
      <c r="I23" s="178">
        <v>61</v>
      </c>
      <c r="J23" s="178">
        <v>0</v>
      </c>
      <c r="K23" s="178">
        <v>0</v>
      </c>
      <c r="L23" s="172"/>
      <c r="M23" s="178">
        <v>91</v>
      </c>
      <c r="N23" s="178">
        <v>121</v>
      </c>
      <c r="O23" s="178">
        <v>121</v>
      </c>
      <c r="P23" s="178">
        <v>0</v>
      </c>
      <c r="Q23" s="553"/>
      <c r="R23" s="553"/>
    </row>
    <row r="24" spans="1:18" ht="16.5" customHeight="1">
      <c r="A24" s="202"/>
      <c r="B24" s="166" t="s">
        <v>172</v>
      </c>
      <c r="C24" s="139"/>
      <c r="D24" s="552">
        <v>809</v>
      </c>
      <c r="E24" s="552">
        <v>803</v>
      </c>
      <c r="F24" s="416">
        <v>850</v>
      </c>
      <c r="G24" s="416">
        <v>834</v>
      </c>
      <c r="H24" s="416">
        <v>817</v>
      </c>
      <c r="I24" s="416">
        <v>939</v>
      </c>
      <c r="J24" s="416">
        <v>915</v>
      </c>
      <c r="K24" s="416">
        <v>1040</v>
      </c>
      <c r="L24" s="172"/>
      <c r="M24" s="416">
        <v>1612</v>
      </c>
      <c r="N24" s="416">
        <v>1685</v>
      </c>
      <c r="O24" s="416">
        <v>1756</v>
      </c>
      <c r="P24" s="416">
        <v>1955</v>
      </c>
      <c r="Q24" s="553"/>
      <c r="R24" s="553"/>
    </row>
    <row r="25" spans="1:18" s="141" customFormat="1" ht="16.5" customHeight="1">
      <c r="A25" s="202"/>
      <c r="B25" s="166" t="s">
        <v>38</v>
      </c>
      <c r="C25" s="139"/>
      <c r="D25" s="531">
        <v>2</v>
      </c>
      <c r="E25" s="531">
        <v>4</v>
      </c>
      <c r="F25" s="554">
        <v>6</v>
      </c>
      <c r="G25" s="554">
        <v>-10</v>
      </c>
      <c r="H25" s="554">
        <v>2</v>
      </c>
      <c r="I25" s="554">
        <v>-5</v>
      </c>
      <c r="J25" s="554">
        <v>-16</v>
      </c>
      <c r="K25" s="554">
        <v>-3</v>
      </c>
      <c r="L25" s="172"/>
      <c r="M25" s="554">
        <v>7</v>
      </c>
      <c r="N25" s="554">
        <v>-4</v>
      </c>
      <c r="O25" s="554">
        <v>-3</v>
      </c>
      <c r="P25" s="554">
        <v>-19</v>
      </c>
      <c r="Q25" s="553"/>
      <c r="R25" s="553"/>
    </row>
    <row r="26" spans="1:18" ht="16.5" customHeight="1">
      <c r="A26" s="202"/>
      <c r="B26" s="713" t="s">
        <v>170</v>
      </c>
      <c r="C26" s="560"/>
      <c r="D26" s="531">
        <v>812</v>
      </c>
      <c r="E26" s="531">
        <v>807</v>
      </c>
      <c r="F26" s="554">
        <v>857</v>
      </c>
      <c r="G26" s="554">
        <v>824</v>
      </c>
      <c r="H26" s="554">
        <v>819</v>
      </c>
      <c r="I26" s="554">
        <v>934</v>
      </c>
      <c r="J26" s="554">
        <v>899</v>
      </c>
      <c r="K26" s="554">
        <v>1037</v>
      </c>
      <c r="L26" s="172"/>
      <c r="M26" s="554">
        <v>1619</v>
      </c>
      <c r="N26" s="554">
        <v>1681</v>
      </c>
      <c r="O26" s="554">
        <v>1753</v>
      </c>
      <c r="P26" s="554">
        <v>1936</v>
      </c>
      <c r="Q26" s="553"/>
      <c r="R26" s="553"/>
    </row>
    <row r="27" spans="1:18" ht="13.5" customHeight="1">
      <c r="A27" s="202"/>
      <c r="B27" s="166"/>
      <c r="C27" s="163"/>
      <c r="D27" s="552"/>
      <c r="E27" s="552"/>
      <c r="F27" s="416"/>
      <c r="G27" s="416"/>
      <c r="H27" s="416"/>
      <c r="I27" s="416"/>
      <c r="J27" s="416"/>
      <c r="K27" s="416"/>
      <c r="L27" s="172"/>
      <c r="M27" s="416"/>
      <c r="N27" s="416"/>
      <c r="O27" s="416"/>
      <c r="P27" s="416"/>
      <c r="R27" s="553"/>
    </row>
    <row r="28" spans="1:18" ht="16.5" customHeight="1">
      <c r="A28" s="162" t="s">
        <v>173</v>
      </c>
      <c r="B28" s="166"/>
      <c r="C28" s="163"/>
      <c r="D28" s="558"/>
      <c r="E28" s="558"/>
      <c r="F28" s="559"/>
      <c r="G28" s="559"/>
      <c r="H28" s="559"/>
      <c r="I28" s="559"/>
      <c r="J28" s="559"/>
      <c r="K28" s="559"/>
      <c r="L28" s="172"/>
      <c r="M28" s="559"/>
      <c r="N28" s="559"/>
      <c r="O28" s="559"/>
      <c r="P28" s="559"/>
      <c r="R28" s="553"/>
    </row>
    <row r="29" spans="1:18" ht="16.5" customHeight="1">
      <c r="A29" s="202"/>
      <c r="B29" s="166" t="s">
        <v>165</v>
      </c>
      <c r="C29" s="163"/>
      <c r="D29" s="561">
        <v>681</v>
      </c>
      <c r="E29" s="561">
        <v>224</v>
      </c>
      <c r="F29" s="562">
        <v>824</v>
      </c>
      <c r="G29" s="562">
        <v>0</v>
      </c>
      <c r="H29" s="562">
        <v>558</v>
      </c>
      <c r="I29" s="562">
        <v>0</v>
      </c>
      <c r="J29" s="562">
        <v>533</v>
      </c>
      <c r="K29" s="562">
        <v>0</v>
      </c>
      <c r="L29" s="172"/>
      <c r="M29" s="562">
        <v>905</v>
      </c>
      <c r="N29" s="562">
        <v>824</v>
      </c>
      <c r="O29" s="562">
        <v>558</v>
      </c>
      <c r="P29" s="416">
        <f>J29</f>
        <v>533</v>
      </c>
      <c r="Q29" s="553"/>
      <c r="R29" s="553"/>
    </row>
    <row r="30" spans="1:18" ht="21">
      <c r="A30" s="202"/>
      <c r="B30" s="166" t="s">
        <v>166</v>
      </c>
      <c r="C30" s="163"/>
      <c r="D30" s="561">
        <v>212</v>
      </c>
      <c r="E30" s="561">
        <v>0</v>
      </c>
      <c r="F30" s="562">
        <v>224</v>
      </c>
      <c r="G30" s="562">
        <v>0</v>
      </c>
      <c r="H30" s="562">
        <v>245</v>
      </c>
      <c r="I30" s="562">
        <v>0</v>
      </c>
      <c r="J30" s="562">
        <v>347</v>
      </c>
      <c r="K30" s="562">
        <v>0</v>
      </c>
      <c r="L30" s="172"/>
      <c r="M30" s="562">
        <v>212</v>
      </c>
      <c r="N30" s="562">
        <v>224</v>
      </c>
      <c r="O30" s="562">
        <v>245</v>
      </c>
      <c r="P30" s="416">
        <f>J30</f>
        <v>347</v>
      </c>
      <c r="Q30" s="553"/>
      <c r="R30" s="553"/>
    </row>
    <row r="31" spans="1:18" ht="21">
      <c r="A31" s="202"/>
      <c r="B31" s="166" t="s">
        <v>284</v>
      </c>
      <c r="C31" s="163"/>
      <c r="D31" s="561">
        <v>41</v>
      </c>
      <c r="E31" s="561">
        <v>0</v>
      </c>
      <c r="F31" s="562">
        <v>39</v>
      </c>
      <c r="G31" s="562">
        <v>0</v>
      </c>
      <c r="H31" s="562">
        <v>67</v>
      </c>
      <c r="I31" s="562">
        <v>0</v>
      </c>
      <c r="J31" s="562">
        <v>110</v>
      </c>
      <c r="K31" s="562">
        <v>0</v>
      </c>
      <c r="L31" s="172"/>
      <c r="M31" s="562">
        <v>41</v>
      </c>
      <c r="N31" s="562">
        <v>39</v>
      </c>
      <c r="O31" s="562">
        <v>67</v>
      </c>
      <c r="P31" s="416">
        <f>J31</f>
        <v>110</v>
      </c>
      <c r="Q31" s="553"/>
      <c r="R31" s="553"/>
    </row>
    <row r="32" spans="1:18" ht="16.5" customHeight="1">
      <c r="A32" s="202"/>
      <c r="B32" s="166" t="s">
        <v>252</v>
      </c>
      <c r="C32" s="163"/>
      <c r="D32" s="561">
        <v>87</v>
      </c>
      <c r="E32" s="561">
        <v>83</v>
      </c>
      <c r="F32" s="562">
        <v>81</v>
      </c>
      <c r="G32" s="562">
        <v>81</v>
      </c>
      <c r="H32" s="562">
        <v>79</v>
      </c>
      <c r="I32" s="562">
        <v>78</v>
      </c>
      <c r="J32" s="562">
        <v>78</v>
      </c>
      <c r="K32" s="562">
        <v>76</v>
      </c>
      <c r="L32" s="172"/>
      <c r="M32" s="562">
        <v>170</v>
      </c>
      <c r="N32" s="562">
        <v>162</v>
      </c>
      <c r="O32" s="562">
        <v>157</v>
      </c>
      <c r="P32" s="416">
        <v>153</v>
      </c>
      <c r="Q32" s="553"/>
      <c r="R32" s="553"/>
    </row>
    <row r="33" spans="1:18" ht="16.5" hidden="1" customHeight="1">
      <c r="A33" s="202"/>
      <c r="B33" s="166" t="s">
        <v>168</v>
      </c>
      <c r="C33" s="163"/>
      <c r="D33" s="561"/>
      <c r="E33" s="561"/>
      <c r="F33" s="562"/>
      <c r="G33" s="562"/>
      <c r="H33" s="562"/>
      <c r="I33" s="562"/>
      <c r="J33" s="562"/>
      <c r="K33" s="562"/>
      <c r="L33" s="172"/>
      <c r="M33" s="562"/>
      <c r="N33" s="562"/>
      <c r="O33" s="562"/>
      <c r="P33" s="416"/>
      <c r="Q33" s="553"/>
      <c r="R33" s="553"/>
    </row>
    <row r="34" spans="1:18" s="141" customFormat="1" ht="21">
      <c r="A34" s="202"/>
      <c r="B34" s="166" t="s">
        <v>253</v>
      </c>
      <c r="C34" s="139"/>
      <c r="D34" s="563">
        <v>99</v>
      </c>
      <c r="E34" s="563">
        <v>44</v>
      </c>
      <c r="F34" s="386">
        <v>95</v>
      </c>
      <c r="G34" s="386">
        <v>0</v>
      </c>
      <c r="H34" s="386">
        <v>111</v>
      </c>
      <c r="I34" s="386">
        <v>178</v>
      </c>
      <c r="J34" s="386">
        <v>0</v>
      </c>
      <c r="K34" s="386">
        <v>0</v>
      </c>
      <c r="L34" s="172"/>
      <c r="M34" s="386">
        <v>143</v>
      </c>
      <c r="N34" s="386">
        <v>95</v>
      </c>
      <c r="O34" s="386">
        <v>288</v>
      </c>
      <c r="P34" s="178">
        <v>0</v>
      </c>
      <c r="Q34" s="553"/>
      <c r="R34" s="553"/>
    </row>
    <row r="35" spans="1:18" ht="16.5" customHeight="1">
      <c r="A35" s="202"/>
      <c r="B35" s="166" t="s">
        <v>172</v>
      </c>
      <c r="C35" s="163"/>
      <c r="D35" s="561">
        <v>1120</v>
      </c>
      <c r="E35" s="561">
        <v>350</v>
      </c>
      <c r="F35" s="562">
        <v>1263</v>
      </c>
      <c r="G35" s="562">
        <v>81</v>
      </c>
      <c r="H35" s="562">
        <v>1060</v>
      </c>
      <c r="I35" s="562">
        <v>256</v>
      </c>
      <c r="J35" s="562">
        <v>1067</v>
      </c>
      <c r="K35" s="562">
        <v>76</v>
      </c>
      <c r="L35" s="172"/>
      <c r="M35" s="562">
        <v>1471</v>
      </c>
      <c r="N35" s="562">
        <v>1344</v>
      </c>
      <c r="O35" s="562">
        <v>1315</v>
      </c>
      <c r="P35" s="416">
        <v>1143</v>
      </c>
      <c r="Q35" s="553"/>
      <c r="R35" s="553"/>
    </row>
    <row r="36" spans="1:18" ht="16.5" customHeight="1">
      <c r="A36" s="202"/>
      <c r="B36" s="166" t="s">
        <v>38</v>
      </c>
      <c r="C36" s="163"/>
      <c r="D36" s="532">
        <v>38</v>
      </c>
      <c r="E36" s="532">
        <v>39</v>
      </c>
      <c r="F36" s="564">
        <v>37</v>
      </c>
      <c r="G36" s="564">
        <v>33</v>
      </c>
      <c r="H36" s="564">
        <v>37</v>
      </c>
      <c r="I36" s="564">
        <v>36</v>
      </c>
      <c r="J36" s="564">
        <v>72</v>
      </c>
      <c r="K36" s="564">
        <v>34</v>
      </c>
      <c r="L36" s="172"/>
      <c r="M36" s="564">
        <v>76</v>
      </c>
      <c r="N36" s="564">
        <v>70</v>
      </c>
      <c r="O36" s="564">
        <v>73</v>
      </c>
      <c r="P36" s="554">
        <v>106</v>
      </c>
      <c r="Q36" s="553"/>
      <c r="R36" s="553"/>
    </row>
    <row r="37" spans="1:18" ht="16.5" customHeight="1">
      <c r="A37" s="202"/>
      <c r="B37" s="713" t="s">
        <v>174</v>
      </c>
      <c r="C37" s="560"/>
      <c r="D37" s="556">
        <v>1158</v>
      </c>
      <c r="E37" s="556">
        <v>389</v>
      </c>
      <c r="F37" s="557">
        <v>1300</v>
      </c>
      <c r="G37" s="557">
        <v>113</v>
      </c>
      <c r="H37" s="557">
        <v>1097</v>
      </c>
      <c r="I37" s="557">
        <v>291</v>
      </c>
      <c r="J37" s="557">
        <v>1140</v>
      </c>
      <c r="K37" s="557">
        <v>109</v>
      </c>
      <c r="L37" s="172"/>
      <c r="M37" s="557">
        <v>1547</v>
      </c>
      <c r="N37" s="557">
        <v>1413</v>
      </c>
      <c r="O37" s="557">
        <v>1388</v>
      </c>
      <c r="P37" s="554">
        <v>1249</v>
      </c>
      <c r="Q37" s="553"/>
      <c r="R37" s="553"/>
    </row>
    <row r="38" spans="1:18" ht="13.5" customHeight="1">
      <c r="A38" s="202"/>
      <c r="B38" s="166"/>
      <c r="C38" s="163"/>
      <c r="D38" s="552"/>
      <c r="E38" s="552"/>
      <c r="F38" s="416"/>
      <c r="G38" s="416"/>
      <c r="H38" s="416"/>
      <c r="I38" s="416"/>
      <c r="J38" s="416"/>
      <c r="K38" s="416"/>
      <c r="L38" s="172"/>
      <c r="M38" s="416"/>
      <c r="N38" s="416"/>
      <c r="O38" s="416"/>
      <c r="P38" s="416"/>
      <c r="R38" s="553"/>
    </row>
    <row r="39" spans="1:18" ht="16.5" customHeight="1">
      <c r="A39" s="162" t="s">
        <v>175</v>
      </c>
      <c r="B39" s="166"/>
      <c r="C39" s="163"/>
      <c r="D39" s="558"/>
      <c r="E39" s="558"/>
      <c r="F39" s="559"/>
      <c r="G39" s="559"/>
      <c r="H39" s="559"/>
      <c r="I39" s="559"/>
      <c r="J39" s="559"/>
      <c r="K39" s="559"/>
      <c r="L39" s="172"/>
      <c r="M39" s="559"/>
      <c r="N39" s="559"/>
      <c r="O39" s="559"/>
      <c r="P39" s="559"/>
      <c r="R39" s="553"/>
    </row>
    <row r="40" spans="1:18" ht="16.5" customHeight="1">
      <c r="A40" s="202"/>
      <c r="B40" s="166" t="s">
        <v>165</v>
      </c>
      <c r="C40" s="163"/>
      <c r="D40" s="552">
        <v>159836</v>
      </c>
      <c r="E40" s="552">
        <v>151067</v>
      </c>
      <c r="F40" s="416">
        <v>158300</v>
      </c>
      <c r="G40" s="416">
        <v>159668</v>
      </c>
      <c r="H40" s="416">
        <v>158416</v>
      </c>
      <c r="I40" s="416">
        <v>158811</v>
      </c>
      <c r="J40" s="416">
        <v>157587</v>
      </c>
      <c r="K40" s="416">
        <v>153672</v>
      </c>
      <c r="L40" s="172"/>
      <c r="M40" s="416">
        <v>151067</v>
      </c>
      <c r="N40" s="416">
        <v>159668</v>
      </c>
      <c r="O40" s="416">
        <v>158811</v>
      </c>
      <c r="P40" s="416">
        <v>153672</v>
      </c>
      <c r="Q40" s="553"/>
      <c r="R40" s="553"/>
    </row>
    <row r="41" spans="1:18" ht="16.5" customHeight="1">
      <c r="A41" s="202"/>
      <c r="B41" s="166" t="s">
        <v>176</v>
      </c>
      <c r="C41" s="163"/>
      <c r="D41" s="552">
        <v>45662</v>
      </c>
      <c r="E41" s="552">
        <v>46121</v>
      </c>
      <c r="F41" s="416">
        <v>44450</v>
      </c>
      <c r="G41" s="416">
        <v>45025</v>
      </c>
      <c r="H41" s="416">
        <v>46282</v>
      </c>
      <c r="I41" s="416">
        <v>45716</v>
      </c>
      <c r="J41" s="416">
        <v>46275</v>
      </c>
      <c r="K41" s="416">
        <v>46940</v>
      </c>
      <c r="L41" s="172"/>
      <c r="M41" s="416">
        <v>46121</v>
      </c>
      <c r="N41" s="416">
        <v>45025</v>
      </c>
      <c r="O41" s="416">
        <v>45716</v>
      </c>
      <c r="P41" s="416">
        <v>46940</v>
      </c>
      <c r="Q41" s="553"/>
      <c r="R41" s="553"/>
    </row>
    <row r="42" spans="1:18" ht="16.5" customHeight="1">
      <c r="A42" s="202"/>
      <c r="B42" s="166" t="s">
        <v>177</v>
      </c>
      <c r="C42" s="163"/>
      <c r="D42" s="552">
        <v>465419</v>
      </c>
      <c r="E42" s="552">
        <v>478514</v>
      </c>
      <c r="F42" s="416">
        <v>493014</v>
      </c>
      <c r="G42" s="416">
        <v>507874</v>
      </c>
      <c r="H42" s="416">
        <v>508282</v>
      </c>
      <c r="I42" s="416">
        <v>527646</v>
      </c>
      <c r="J42" s="416">
        <v>538008</v>
      </c>
      <c r="K42" s="416">
        <v>556788</v>
      </c>
      <c r="L42" s="172"/>
      <c r="M42" s="416">
        <v>478514</v>
      </c>
      <c r="N42" s="416">
        <v>507874</v>
      </c>
      <c r="O42" s="416">
        <v>527646</v>
      </c>
      <c r="P42" s="416">
        <v>556788</v>
      </c>
      <c r="Q42" s="553"/>
      <c r="R42" s="553"/>
    </row>
    <row r="43" spans="1:18" ht="18.75" customHeight="1">
      <c r="A43" s="202"/>
      <c r="B43" s="714" t="s">
        <v>178</v>
      </c>
      <c r="C43" s="565"/>
      <c r="D43" s="552">
        <v>327798</v>
      </c>
      <c r="E43" s="552">
        <v>335412</v>
      </c>
      <c r="F43" s="416">
        <v>342305</v>
      </c>
      <c r="G43" s="416">
        <v>352253</v>
      </c>
      <c r="H43" s="416">
        <v>351640</v>
      </c>
      <c r="I43" s="416">
        <v>361593</v>
      </c>
      <c r="J43" s="416">
        <v>364192</v>
      </c>
      <c r="K43" s="416">
        <v>373243</v>
      </c>
      <c r="L43" s="229"/>
      <c r="M43" s="552">
        <v>335412</v>
      </c>
      <c r="N43" s="552">
        <v>352253</v>
      </c>
      <c r="O43" s="416">
        <v>361593</v>
      </c>
      <c r="P43" s="416">
        <v>373243</v>
      </c>
      <c r="Q43" s="553"/>
      <c r="R43" s="553"/>
    </row>
    <row r="44" spans="1:18" ht="18.75" customHeight="1">
      <c r="A44" s="202"/>
      <c r="B44" s="714" t="s">
        <v>179</v>
      </c>
      <c r="C44" s="565"/>
      <c r="D44" s="552">
        <v>134660</v>
      </c>
      <c r="E44" s="552">
        <v>140048</v>
      </c>
      <c r="F44" s="416">
        <v>147666</v>
      </c>
      <c r="G44" s="416">
        <v>152718</v>
      </c>
      <c r="H44" s="416">
        <v>156642</v>
      </c>
      <c r="I44" s="416">
        <v>166053</v>
      </c>
      <c r="J44" s="416">
        <v>173816</v>
      </c>
      <c r="K44" s="416">
        <v>183545</v>
      </c>
      <c r="L44" s="172"/>
      <c r="M44" s="416">
        <v>140048</v>
      </c>
      <c r="N44" s="416">
        <v>152718</v>
      </c>
      <c r="O44" s="416">
        <v>166053</v>
      </c>
      <c r="P44" s="416">
        <v>183545</v>
      </c>
      <c r="Q44" s="553"/>
      <c r="R44" s="553"/>
    </row>
    <row r="45" spans="1:18" ht="17.45" customHeight="1">
      <c r="A45" s="202"/>
      <c r="B45" s="166" t="s">
        <v>167</v>
      </c>
      <c r="C45" s="163"/>
      <c r="D45" s="552">
        <v>87874</v>
      </c>
      <c r="E45" s="552">
        <v>84215</v>
      </c>
      <c r="F45" s="416">
        <v>54731</v>
      </c>
      <c r="G45" s="416">
        <v>58774</v>
      </c>
      <c r="H45" s="416">
        <v>60167</v>
      </c>
      <c r="I45" s="416">
        <v>61593</v>
      </c>
      <c r="J45" s="416">
        <v>63148</v>
      </c>
      <c r="K45" s="416">
        <v>66556</v>
      </c>
      <c r="L45" s="172"/>
      <c r="M45" s="416">
        <v>84215</v>
      </c>
      <c r="N45" s="416">
        <v>58774</v>
      </c>
      <c r="O45" s="416">
        <v>61593</v>
      </c>
      <c r="P45" s="416">
        <v>66556</v>
      </c>
      <c r="Q45" s="553"/>
      <c r="R45" s="553"/>
    </row>
    <row r="46" spans="1:18" ht="17.45" customHeight="1">
      <c r="A46" s="227"/>
      <c r="B46" s="713" t="s">
        <v>174</v>
      </c>
      <c r="C46" s="560"/>
      <c r="D46" s="556">
        <v>758791</v>
      </c>
      <c r="E46" s="556">
        <v>759917</v>
      </c>
      <c r="F46" s="557">
        <v>750495</v>
      </c>
      <c r="G46" s="557">
        <v>771341</v>
      </c>
      <c r="H46" s="557">
        <v>773147</v>
      </c>
      <c r="I46" s="557">
        <v>793766</v>
      </c>
      <c r="J46" s="557">
        <v>805018</v>
      </c>
      <c r="K46" s="557">
        <v>823956</v>
      </c>
      <c r="L46" s="172"/>
      <c r="M46" s="557">
        <v>759917</v>
      </c>
      <c r="N46" s="557">
        <v>771341</v>
      </c>
      <c r="O46" s="557">
        <v>793766</v>
      </c>
      <c r="P46" s="557">
        <v>823956</v>
      </c>
      <c r="Q46" s="553"/>
      <c r="R46" s="553"/>
    </row>
    <row r="47" spans="1:18" ht="17.45" customHeight="1">
      <c r="A47" s="163"/>
      <c r="B47" s="166"/>
      <c r="C47" s="163"/>
      <c r="D47" s="139"/>
      <c r="E47" s="139"/>
      <c r="F47" s="166"/>
      <c r="G47" s="166"/>
      <c r="H47" s="166"/>
      <c r="I47" s="166"/>
      <c r="J47" s="166"/>
      <c r="K47" s="166"/>
      <c r="L47" s="228"/>
      <c r="M47" s="228"/>
      <c r="N47" s="228"/>
      <c r="O47" s="228"/>
      <c r="P47" s="228"/>
    </row>
    <row r="48" spans="1:18" ht="17.45" customHeight="1">
      <c r="A48" s="139"/>
      <c r="B48" s="166" t="s">
        <v>257</v>
      </c>
      <c r="C48" s="141"/>
      <c r="D48" s="139"/>
      <c r="E48" s="139"/>
      <c r="F48" s="139"/>
      <c r="G48" s="139"/>
      <c r="H48" s="139"/>
      <c r="I48" s="139"/>
      <c r="J48" s="139"/>
      <c r="K48" s="139"/>
      <c r="L48" s="141"/>
      <c r="M48" s="141"/>
      <c r="N48" s="141"/>
      <c r="O48" s="141"/>
      <c r="P48" s="141"/>
    </row>
    <row r="49" spans="2:16" ht="18">
      <c r="B49" s="166" t="s">
        <v>270</v>
      </c>
      <c r="C49" s="139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50" spans="2:16" ht="18">
      <c r="B50" s="166" t="s">
        <v>285</v>
      </c>
      <c r="C50" s="139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  <row r="51" spans="2:16" ht="18">
      <c r="B51" s="166" t="s">
        <v>283</v>
      </c>
      <c r="C51" s="139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</row>
    <row r="52" spans="2:16" ht="18">
      <c r="B52" s="166" t="s">
        <v>254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</row>
    <row r="53" spans="2:16" ht="18">
      <c r="B53" s="139" t="s">
        <v>180</v>
      </c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2:16" s="141" customFormat="1" ht="13.5" customHeight="1">
      <c r="B54" s="139"/>
    </row>
    <row r="55" spans="2:16" ht="13.5" customHeight="1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</row>
    <row r="56" spans="2:16" ht="13.5" customHeight="1"/>
    <row r="57" spans="2:16" ht="13.5" customHeight="1"/>
    <row r="58" spans="2:16" ht="13.5" customHeight="1"/>
    <row r="59" spans="2:16" ht="13.5" customHeight="1"/>
    <row r="60" spans="2:16" ht="13.5" customHeight="1"/>
    <row r="61" spans="2:16" ht="13.5" customHeight="1"/>
    <row r="62" spans="2:16" ht="13.5" customHeight="1"/>
    <row r="63" spans="2:16" ht="13.5" customHeight="1"/>
    <row r="64" spans="2:16" ht="13.5" customHeight="1"/>
    <row r="65" ht="13.5" customHeight="1"/>
    <row r="66" ht="13.5" customHeight="1"/>
    <row r="67" ht="13.5" customHeight="1"/>
  </sheetData>
  <mergeCells count="4">
    <mergeCell ref="D5:E5"/>
    <mergeCell ref="F5:G5"/>
    <mergeCell ref="H5:I5"/>
    <mergeCell ref="J5:K5"/>
  </mergeCells>
  <pageMargins left="0.70866141732283505" right="0.70866141732283505" top="0.74803149606299202" bottom="0.74803149606299202" header="0.31496062992126" footer="0.31496062992126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7"/>
  <sheetViews>
    <sheetView view="pageBreakPreview" zoomScale="80" zoomScaleNormal="110" zoomScaleSheetLayoutView="80" workbookViewId="0">
      <selection activeCell="B1" sqref="B1"/>
    </sheetView>
  </sheetViews>
  <sheetFormatPr defaultColWidth="9.28515625" defaultRowHeight="13.5" customHeight="1"/>
  <cols>
    <col min="1" max="1" width="1.5703125" style="137" customWidth="1"/>
    <col min="2" max="2" width="4.28515625" style="137" customWidth="1"/>
    <col min="3" max="3" width="82.7109375" style="137" customWidth="1"/>
    <col min="4" max="7" width="19.5703125" style="137" hidden="1" customWidth="1"/>
    <col min="8" max="11" width="19.5703125" style="137" customWidth="1"/>
    <col min="12" max="12" width="9.28515625" style="137"/>
    <col min="13" max="14" width="20" style="137" hidden="1" customWidth="1"/>
    <col min="15" max="15" width="20" style="137" customWidth="1"/>
    <col min="16" max="16" width="16.7109375" style="137" customWidth="1"/>
    <col min="17" max="17" width="14.85546875" style="137" customWidth="1"/>
    <col min="18" max="19" width="9.28515625" style="137"/>
    <col min="20" max="20" width="12" style="137" customWidth="1"/>
    <col min="21" max="16384" width="9.28515625" style="137"/>
  </cols>
  <sheetData>
    <row r="1" spans="1:18" ht="21" customHeight="1">
      <c r="A1" s="140" t="s">
        <v>181</v>
      </c>
      <c r="B1" s="163"/>
      <c r="C1" s="163"/>
      <c r="L1" s="141"/>
      <c r="M1" s="80"/>
      <c r="N1" s="80"/>
      <c r="O1" s="80"/>
      <c r="P1" s="80"/>
      <c r="Q1" s="80"/>
    </row>
    <row r="2" spans="1:18" ht="8.25" customHeight="1">
      <c r="A2" s="163"/>
      <c r="B2" s="163"/>
      <c r="C2" s="163"/>
      <c r="L2" s="141"/>
      <c r="M2" s="80"/>
      <c r="N2" s="80"/>
      <c r="O2" s="80"/>
      <c r="P2" s="80"/>
      <c r="Q2" s="80"/>
    </row>
    <row r="3" spans="1:18" s="239" customFormat="1" ht="18">
      <c r="A3" s="142" t="s">
        <v>182</v>
      </c>
      <c r="B3" s="232"/>
      <c r="C3" s="232"/>
      <c r="L3" s="209"/>
      <c r="M3" s="80"/>
      <c r="N3" s="80"/>
      <c r="O3" s="80"/>
      <c r="P3" s="80"/>
      <c r="Q3" s="80"/>
    </row>
    <row r="4" spans="1:18" ht="16.5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41"/>
      <c r="M4" s="141"/>
      <c r="N4" s="141"/>
      <c r="O4" s="141"/>
      <c r="P4" s="141"/>
    </row>
    <row r="5" spans="1:18" s="141" customFormat="1" ht="18">
      <c r="A5" s="144"/>
      <c r="B5" s="145"/>
      <c r="C5" s="146"/>
      <c r="D5" s="805" t="s">
        <v>8</v>
      </c>
      <c r="E5" s="806"/>
      <c r="F5" s="807" t="s">
        <v>2</v>
      </c>
      <c r="G5" s="808"/>
      <c r="H5" s="807" t="s">
        <v>3</v>
      </c>
      <c r="I5" s="809"/>
      <c r="J5" s="807" t="s">
        <v>4</v>
      </c>
      <c r="K5" s="808"/>
      <c r="M5" s="148"/>
      <c r="N5" s="148"/>
      <c r="O5" s="148"/>
      <c r="P5" s="148"/>
      <c r="Q5" s="137"/>
      <c r="R5" s="137"/>
    </row>
    <row r="6" spans="1:18" s="141" customFormat="1" ht="18">
      <c r="A6" s="566"/>
      <c r="B6" s="548"/>
      <c r="C6" s="158"/>
      <c r="D6" s="159" t="s">
        <v>6</v>
      </c>
      <c r="E6" s="159" t="s">
        <v>7</v>
      </c>
      <c r="F6" s="159" t="s">
        <v>6</v>
      </c>
      <c r="G6" s="159" t="s">
        <v>7</v>
      </c>
      <c r="H6" s="159" t="s">
        <v>6</v>
      </c>
      <c r="I6" s="159" t="s">
        <v>7</v>
      </c>
      <c r="J6" s="159" t="s">
        <v>6</v>
      </c>
      <c r="K6" s="159" t="s">
        <v>7</v>
      </c>
      <c r="M6" s="161" t="s">
        <v>8</v>
      </c>
      <c r="N6" s="161" t="s">
        <v>2</v>
      </c>
      <c r="O6" s="161" t="s">
        <v>3</v>
      </c>
      <c r="P6" s="161" t="s">
        <v>4</v>
      </c>
      <c r="Q6" s="137"/>
      <c r="R6" s="137"/>
    </row>
    <row r="7" spans="1:18" ht="18">
      <c r="A7" s="202"/>
      <c r="B7" s="567"/>
      <c r="C7" s="567"/>
      <c r="D7" s="568"/>
      <c r="E7" s="568"/>
      <c r="F7" s="568"/>
      <c r="G7" s="568"/>
      <c r="H7" s="568"/>
      <c r="I7" s="568"/>
      <c r="J7" s="568"/>
      <c r="K7" s="568"/>
      <c r="L7" s="569"/>
      <c r="M7" s="568"/>
      <c r="N7" s="568"/>
      <c r="O7" s="568"/>
      <c r="P7" s="568"/>
    </row>
    <row r="8" spans="1:18" ht="18">
      <c r="A8" s="202"/>
      <c r="B8" s="570" t="s">
        <v>183</v>
      </c>
      <c r="C8" s="203"/>
      <c r="D8" s="572">
        <v>625</v>
      </c>
      <c r="E8" s="572">
        <v>636</v>
      </c>
      <c r="F8" s="572"/>
      <c r="G8" s="572"/>
      <c r="H8" s="572"/>
      <c r="I8" s="572"/>
      <c r="J8" s="572"/>
      <c r="K8" s="572"/>
      <c r="L8" s="452"/>
      <c r="M8" s="572"/>
      <c r="N8" s="572"/>
      <c r="O8" s="572"/>
      <c r="P8" s="572"/>
      <c r="Q8" s="553"/>
      <c r="R8" s="553"/>
    </row>
    <row r="9" spans="1:18" ht="18" hidden="1">
      <c r="A9" s="202"/>
      <c r="B9" s="567" t="s">
        <v>184</v>
      </c>
      <c r="C9" s="203"/>
      <c r="D9" s="572"/>
      <c r="E9" s="572"/>
      <c r="F9" s="572"/>
      <c r="G9" s="572"/>
      <c r="H9" s="572"/>
      <c r="I9" s="572"/>
      <c r="J9" s="572"/>
      <c r="K9" s="572"/>
      <c r="L9" s="452"/>
      <c r="M9" s="572"/>
      <c r="N9" s="572"/>
      <c r="O9" s="572"/>
      <c r="P9" s="572"/>
    </row>
    <row r="10" spans="1:18" ht="18" hidden="1">
      <c r="A10" s="202"/>
      <c r="B10" s="573" t="s">
        <v>185</v>
      </c>
      <c r="C10" s="203"/>
      <c r="D10" s="572">
        <v>1385</v>
      </c>
      <c r="E10" s="572">
        <v>1406</v>
      </c>
      <c r="F10" s="572">
        <v>1443</v>
      </c>
      <c r="G10" s="572">
        <v>1650</v>
      </c>
      <c r="H10" s="572">
        <v>1595</v>
      </c>
      <c r="I10" s="572">
        <v>1553</v>
      </c>
      <c r="J10" s="572"/>
      <c r="K10" s="572"/>
      <c r="L10" s="452"/>
      <c r="M10" s="572">
        <v>1406</v>
      </c>
      <c r="N10" s="572">
        <v>1650</v>
      </c>
      <c r="O10" s="572">
        <v>1553</v>
      </c>
      <c r="P10" s="572">
        <f>J10</f>
        <v>0</v>
      </c>
    </row>
    <row r="11" spans="1:18" ht="18" hidden="1">
      <c r="A11" s="202"/>
      <c r="B11" s="574" t="s">
        <v>186</v>
      </c>
      <c r="C11" s="774"/>
      <c r="D11" s="576">
        <v>2880</v>
      </c>
      <c r="E11" s="576">
        <v>2903</v>
      </c>
      <c r="F11" s="576">
        <v>2965</v>
      </c>
      <c r="G11" s="576">
        <v>2997</v>
      </c>
      <c r="H11" s="576">
        <v>3011</v>
      </c>
      <c r="I11" s="576">
        <v>2983</v>
      </c>
      <c r="J11" s="576"/>
      <c r="K11" s="576"/>
      <c r="L11" s="452"/>
      <c r="M11" s="576">
        <v>2903</v>
      </c>
      <c r="N11" s="576">
        <v>2997</v>
      </c>
      <c r="O11" s="576">
        <v>2983</v>
      </c>
      <c r="P11" s="576">
        <f>J11</f>
        <v>0</v>
      </c>
    </row>
    <row r="12" spans="1:18" s="143" customFormat="1" ht="18">
      <c r="A12" s="577"/>
      <c r="B12" s="567" t="s">
        <v>184</v>
      </c>
      <c r="C12" s="456"/>
      <c r="D12" s="578">
        <v>4265</v>
      </c>
      <c r="E12" s="578">
        <v>4309</v>
      </c>
      <c r="F12" s="578">
        <v>4408</v>
      </c>
      <c r="G12" s="578">
        <v>4647</v>
      </c>
      <c r="H12" s="572">
        <v>4606</v>
      </c>
      <c r="I12" s="572">
        <v>4536</v>
      </c>
      <c r="J12" s="572">
        <v>4552</v>
      </c>
      <c r="K12" s="572">
        <v>4496</v>
      </c>
      <c r="L12" s="466"/>
      <c r="M12" s="571">
        <v>4309</v>
      </c>
      <c r="N12" s="571">
        <v>4647</v>
      </c>
      <c r="O12" s="572">
        <v>4536</v>
      </c>
      <c r="P12" s="572">
        <v>4496</v>
      </c>
    </row>
    <row r="13" spans="1:18" ht="18">
      <c r="A13" s="202"/>
      <c r="B13" s="440"/>
      <c r="C13" s="203"/>
      <c r="D13" s="572"/>
      <c r="E13" s="572"/>
      <c r="F13" s="572"/>
      <c r="G13" s="572"/>
      <c r="H13" s="572"/>
      <c r="I13" s="572"/>
      <c r="J13" s="572"/>
      <c r="K13" s="572"/>
      <c r="L13" s="466"/>
      <c r="M13" s="571"/>
      <c r="N13" s="571"/>
      <c r="O13" s="572"/>
      <c r="P13" s="572"/>
    </row>
    <row r="14" spans="1:18" ht="21" hidden="1">
      <c r="A14" s="202"/>
      <c r="B14" s="579" t="s">
        <v>187</v>
      </c>
      <c r="C14" s="203"/>
      <c r="D14" s="572"/>
      <c r="E14" s="572"/>
      <c r="F14" s="572"/>
      <c r="G14" s="572"/>
      <c r="H14" s="572"/>
      <c r="I14" s="572"/>
      <c r="J14" s="572"/>
      <c r="K14" s="572"/>
      <c r="L14" s="580"/>
      <c r="M14" s="571"/>
      <c r="N14" s="571"/>
      <c r="O14" s="572"/>
      <c r="P14" s="572"/>
    </row>
    <row r="15" spans="1:18" ht="18" hidden="1">
      <c r="A15" s="202"/>
      <c r="B15" s="581" t="s">
        <v>185</v>
      </c>
      <c r="C15" s="203"/>
      <c r="D15" s="572">
        <v>13</v>
      </c>
      <c r="E15" s="572">
        <v>12</v>
      </c>
      <c r="F15" s="572">
        <v>12</v>
      </c>
      <c r="G15" s="572">
        <v>10</v>
      </c>
      <c r="H15" s="572">
        <v>10</v>
      </c>
      <c r="I15" s="572">
        <v>9</v>
      </c>
      <c r="J15" s="572"/>
      <c r="K15" s="572"/>
      <c r="L15" s="466"/>
      <c r="M15" s="571">
        <v>13</v>
      </c>
      <c r="N15" s="571">
        <v>11</v>
      </c>
      <c r="O15" s="572">
        <v>9</v>
      </c>
      <c r="P15" s="572"/>
      <c r="Q15" s="141"/>
    </row>
    <row r="16" spans="1:18" ht="18" hidden="1">
      <c r="A16" s="202"/>
      <c r="B16" s="582" t="s">
        <v>186</v>
      </c>
      <c r="C16" s="774"/>
      <c r="D16" s="576">
        <v>32</v>
      </c>
      <c r="E16" s="576">
        <v>33</v>
      </c>
      <c r="F16" s="576">
        <v>32</v>
      </c>
      <c r="G16" s="576">
        <v>33</v>
      </c>
      <c r="H16" s="576">
        <v>33</v>
      </c>
      <c r="I16" s="576">
        <v>32</v>
      </c>
      <c r="J16" s="576"/>
      <c r="K16" s="576"/>
      <c r="L16" s="466"/>
      <c r="M16" s="575">
        <v>33</v>
      </c>
      <c r="N16" s="575">
        <v>33</v>
      </c>
      <c r="O16" s="576">
        <v>33</v>
      </c>
      <c r="P16" s="576"/>
      <c r="Q16" s="141"/>
    </row>
    <row r="17" spans="1:17" s="143" customFormat="1" ht="24" customHeight="1">
      <c r="A17" s="577"/>
      <c r="B17" s="583" t="s">
        <v>188</v>
      </c>
      <c r="C17" s="456"/>
      <c r="D17" s="775">
        <v>26</v>
      </c>
      <c r="E17" s="775">
        <v>26</v>
      </c>
      <c r="F17" s="775">
        <v>25</v>
      </c>
      <c r="G17" s="775">
        <v>25</v>
      </c>
      <c r="H17" s="708">
        <v>24</v>
      </c>
      <c r="I17" s="708">
        <v>24</v>
      </c>
      <c r="J17" s="708">
        <v>23</v>
      </c>
      <c r="K17" s="708">
        <v>22</v>
      </c>
      <c r="L17" s="466"/>
      <c r="M17" s="584">
        <v>26</v>
      </c>
      <c r="N17" s="584">
        <v>25</v>
      </c>
      <c r="O17" s="708">
        <v>24</v>
      </c>
      <c r="P17" s="708">
        <v>23</v>
      </c>
      <c r="Q17" s="220"/>
    </row>
    <row r="18" spans="1:17" ht="18" hidden="1" customHeight="1">
      <c r="A18" s="202"/>
      <c r="B18" s="585" t="s">
        <v>189</v>
      </c>
      <c r="C18" s="203"/>
      <c r="D18" s="576"/>
      <c r="E18" s="576"/>
      <c r="F18" s="576"/>
      <c r="G18" s="576"/>
      <c r="H18" s="576"/>
      <c r="I18" s="576"/>
      <c r="J18" s="576"/>
      <c r="K18" s="576"/>
      <c r="L18" s="466"/>
      <c r="M18" s="575"/>
      <c r="N18" s="575"/>
      <c r="O18" s="576"/>
      <c r="P18" s="576"/>
      <c r="Q18" s="220"/>
    </row>
    <row r="19" spans="1:17" s="590" customFormat="1" ht="18" hidden="1" customHeight="1">
      <c r="A19" s="586"/>
      <c r="B19" s="587" t="s">
        <v>190</v>
      </c>
      <c r="C19" s="776"/>
      <c r="D19" s="709"/>
      <c r="E19" s="709"/>
      <c r="F19" s="709"/>
      <c r="G19" s="709"/>
      <c r="H19" s="709"/>
      <c r="I19" s="709"/>
      <c r="J19" s="709"/>
      <c r="K19" s="709"/>
      <c r="L19" s="589"/>
      <c r="M19" s="588"/>
      <c r="N19" s="588"/>
      <c r="O19" s="709"/>
      <c r="P19" s="709"/>
      <c r="Q19" s="220"/>
    </row>
    <row r="20" spans="1:17" ht="18">
      <c r="A20" s="202"/>
      <c r="B20" s="139"/>
      <c r="C20" s="166"/>
      <c r="D20" s="572"/>
      <c r="E20" s="572"/>
      <c r="F20" s="572"/>
      <c r="G20" s="572"/>
      <c r="H20" s="572"/>
      <c r="I20" s="572"/>
      <c r="J20" s="572"/>
      <c r="K20" s="572"/>
      <c r="L20" s="466"/>
      <c r="M20" s="571"/>
      <c r="N20" s="571"/>
      <c r="O20" s="572"/>
      <c r="P20" s="572"/>
      <c r="Q20" s="220"/>
    </row>
    <row r="21" spans="1:17" ht="21">
      <c r="A21" s="202"/>
      <c r="B21" s="591" t="s">
        <v>191</v>
      </c>
      <c r="C21" s="166"/>
      <c r="D21" s="572">
        <v>9</v>
      </c>
      <c r="E21" s="572">
        <v>10</v>
      </c>
      <c r="F21" s="572">
        <v>12</v>
      </c>
      <c r="G21" s="572">
        <v>13</v>
      </c>
      <c r="H21" s="572">
        <v>15</v>
      </c>
      <c r="I21" s="572">
        <v>15</v>
      </c>
      <c r="J21" s="572">
        <f>17</f>
        <v>17</v>
      </c>
      <c r="K21" s="572">
        <v>19</v>
      </c>
      <c r="L21" s="466"/>
      <c r="M21" s="571">
        <v>9</v>
      </c>
      <c r="N21" s="571">
        <v>12</v>
      </c>
      <c r="O21" s="572">
        <v>15</v>
      </c>
      <c r="P21" s="572">
        <v>18</v>
      </c>
      <c r="Q21" s="220"/>
    </row>
    <row r="22" spans="1:17" ht="18">
      <c r="A22" s="202"/>
      <c r="B22" s="139"/>
      <c r="C22" s="166"/>
      <c r="D22" s="602"/>
      <c r="E22" s="602"/>
      <c r="F22" s="572"/>
      <c r="G22" s="602"/>
      <c r="H22" s="572"/>
      <c r="I22" s="602"/>
      <c r="J22" s="602"/>
      <c r="K22" s="602"/>
      <c r="L22" s="466"/>
      <c r="M22" s="571"/>
      <c r="N22" s="571"/>
      <c r="O22" s="572"/>
      <c r="P22" s="572"/>
      <c r="Q22" s="220"/>
    </row>
    <row r="23" spans="1:17" ht="21">
      <c r="A23" s="202"/>
      <c r="B23" s="591" t="s">
        <v>192</v>
      </c>
      <c r="C23" s="166"/>
      <c r="D23" s="777">
        <v>8.9999999999999993E-3</v>
      </c>
      <c r="E23" s="777">
        <v>8.9999999999999993E-3</v>
      </c>
      <c r="F23" s="777">
        <v>0.01</v>
      </c>
      <c r="G23" s="777">
        <v>1.0999999999999999E-2</v>
      </c>
      <c r="H23" s="701">
        <v>1.2E-2</v>
      </c>
      <c r="I23" s="701">
        <v>1.2999999999999999E-2</v>
      </c>
      <c r="J23" s="701">
        <v>1.4E-2</v>
      </c>
      <c r="K23" s="701">
        <v>1.2E-2</v>
      </c>
      <c r="L23" s="466"/>
      <c r="M23" s="524">
        <v>8.9999999999999993E-3</v>
      </c>
      <c r="N23" s="524">
        <v>1.0999999999999999E-2</v>
      </c>
      <c r="O23" s="701">
        <v>1.2E-2</v>
      </c>
      <c r="P23" s="701">
        <v>1.2E-2</v>
      </c>
      <c r="Q23" s="220"/>
    </row>
    <row r="24" spans="1:17" ht="18">
      <c r="A24" s="202"/>
      <c r="B24" s="139"/>
      <c r="C24" s="166"/>
      <c r="D24" s="602"/>
      <c r="E24" s="602"/>
      <c r="F24" s="572"/>
      <c r="G24" s="602"/>
      <c r="H24" s="572"/>
      <c r="I24" s="602"/>
      <c r="J24" s="602"/>
      <c r="K24" s="602"/>
      <c r="L24" s="466"/>
      <c r="M24" s="571"/>
      <c r="N24" s="571"/>
      <c r="O24" s="572"/>
      <c r="P24" s="572"/>
      <c r="Q24" s="220"/>
    </row>
    <row r="25" spans="1:17" ht="23.25" customHeight="1">
      <c r="A25" s="202"/>
      <c r="B25" s="593" t="s">
        <v>193</v>
      </c>
      <c r="C25" s="166"/>
      <c r="D25" s="777">
        <v>0.47399999999999998</v>
      </c>
      <c r="E25" s="777">
        <f>45.6%-0.001</f>
        <v>0.45500000000000002</v>
      </c>
      <c r="F25" s="777">
        <v>0.45300000000000001</v>
      </c>
      <c r="G25" s="777">
        <v>0.46300000000000002</v>
      </c>
      <c r="H25" s="701">
        <f>45.5%-0.4%</f>
        <v>0.45100000000000001</v>
      </c>
      <c r="I25" s="701">
        <v>0.44600000000000001</v>
      </c>
      <c r="J25" s="701">
        <v>0.45400000000000001</v>
      </c>
      <c r="K25" s="701">
        <v>0.442</v>
      </c>
      <c r="L25" s="466"/>
      <c r="M25" s="524">
        <f>45.6%-0.001</f>
        <v>0.45500000000000002</v>
      </c>
      <c r="N25" s="524">
        <v>0.46300000000000002</v>
      </c>
      <c r="O25" s="701">
        <v>0.44600000000000001</v>
      </c>
      <c r="P25" s="701">
        <v>0.442</v>
      </c>
      <c r="Q25" s="141"/>
    </row>
    <row r="26" spans="1:17" ht="18">
      <c r="A26" s="202"/>
      <c r="B26" s="139"/>
      <c r="C26" s="166"/>
      <c r="D26" s="602"/>
      <c r="E26" s="602"/>
      <c r="F26" s="572"/>
      <c r="G26" s="602"/>
      <c r="H26" s="572"/>
      <c r="I26" s="602"/>
      <c r="J26" s="602"/>
      <c r="K26" s="602"/>
      <c r="L26" s="466"/>
      <c r="M26" s="571"/>
      <c r="N26" s="571"/>
      <c r="O26" s="572"/>
      <c r="P26" s="572"/>
      <c r="Q26" s="141"/>
    </row>
    <row r="27" spans="1:17" ht="18">
      <c r="A27" s="202"/>
      <c r="B27" s="594" t="s">
        <v>194</v>
      </c>
      <c r="C27" s="166"/>
      <c r="D27" s="602"/>
      <c r="E27" s="602"/>
      <c r="F27" s="572"/>
      <c r="G27" s="602"/>
      <c r="H27" s="572"/>
      <c r="I27" s="602"/>
      <c r="J27" s="602"/>
      <c r="K27" s="602"/>
      <c r="L27" s="466"/>
      <c r="M27" s="571"/>
      <c r="N27" s="571"/>
      <c r="O27" s="572"/>
      <c r="P27" s="572"/>
      <c r="Q27" s="141"/>
    </row>
    <row r="28" spans="1:17" s="598" customFormat="1" ht="18">
      <c r="A28" s="595"/>
      <c r="B28" s="440" t="s">
        <v>195</v>
      </c>
      <c r="C28" s="203"/>
      <c r="D28" s="778">
        <v>663</v>
      </c>
      <c r="E28" s="778">
        <v>668</v>
      </c>
      <c r="F28" s="708">
        <v>676</v>
      </c>
      <c r="G28" s="778">
        <v>682</v>
      </c>
      <c r="H28" s="572">
        <v>688</v>
      </c>
      <c r="I28" s="572">
        <v>691</v>
      </c>
      <c r="J28" s="572">
        <v>692</v>
      </c>
      <c r="K28" s="572">
        <v>686</v>
      </c>
      <c r="L28" s="596"/>
      <c r="M28" s="571">
        <v>668</v>
      </c>
      <c r="N28" s="571">
        <v>682</v>
      </c>
      <c r="O28" s="572">
        <v>691</v>
      </c>
      <c r="P28" s="572">
        <v>686</v>
      </c>
      <c r="Q28" s="597"/>
    </row>
    <row r="29" spans="1:17" s="598" customFormat="1" ht="18">
      <c r="A29" s="595"/>
      <c r="B29" s="440"/>
      <c r="C29" s="203"/>
      <c r="D29" s="602"/>
      <c r="E29" s="602"/>
      <c r="F29" s="572"/>
      <c r="G29" s="602"/>
      <c r="H29" s="572"/>
      <c r="I29" s="602"/>
      <c r="J29" s="602"/>
      <c r="K29" s="602"/>
      <c r="L29" s="599"/>
      <c r="M29" s="571"/>
      <c r="N29" s="571"/>
      <c r="O29" s="572"/>
      <c r="P29" s="572"/>
      <c r="Q29" s="597"/>
    </row>
    <row r="30" spans="1:17" s="598" customFormat="1" ht="18">
      <c r="A30" s="595"/>
      <c r="B30" s="570" t="s">
        <v>196</v>
      </c>
      <c r="C30" s="203"/>
      <c r="D30" s="600"/>
      <c r="E30" s="600"/>
      <c r="F30" s="572"/>
      <c r="G30" s="600"/>
      <c r="H30" s="572"/>
      <c r="I30" s="600"/>
      <c r="J30" s="600"/>
      <c r="K30" s="600"/>
      <c r="L30" s="601"/>
      <c r="M30" s="572"/>
      <c r="N30" s="572"/>
      <c r="O30" s="572"/>
      <c r="P30" s="572"/>
    </row>
    <row r="31" spans="1:17" s="598" customFormat="1" ht="18">
      <c r="A31" s="595"/>
      <c r="B31" s="440" t="s">
        <v>197</v>
      </c>
      <c r="C31" s="440"/>
      <c r="D31" s="592"/>
      <c r="E31" s="592"/>
      <c r="F31" s="572"/>
      <c r="G31" s="602"/>
      <c r="H31" s="572">
        <v>36</v>
      </c>
      <c r="I31" s="715">
        <v>34</v>
      </c>
      <c r="J31" s="602">
        <v>33</v>
      </c>
      <c r="K31" s="602">
        <v>32</v>
      </c>
      <c r="L31" s="601"/>
      <c r="M31" s="572">
        <v>34</v>
      </c>
      <c r="N31" s="572">
        <v>34</v>
      </c>
      <c r="O31" s="572">
        <v>35</v>
      </c>
      <c r="P31" s="716">
        <v>33</v>
      </c>
    </row>
    <row r="32" spans="1:17" s="598" customFormat="1" ht="18">
      <c r="A32" s="595"/>
      <c r="B32" s="440"/>
      <c r="C32" s="440"/>
      <c r="D32" s="592"/>
      <c r="E32" s="592"/>
      <c r="F32" s="600"/>
      <c r="G32" s="602"/>
      <c r="H32" s="600"/>
      <c r="I32" s="602"/>
      <c r="J32" s="602"/>
      <c r="K32" s="602"/>
      <c r="L32" s="603"/>
      <c r="M32" s="602"/>
      <c r="N32" s="602"/>
      <c r="O32" s="600"/>
      <c r="P32" s="600"/>
    </row>
    <row r="33" spans="1:16" ht="18">
      <c r="A33" s="227"/>
      <c r="B33" s="604"/>
      <c r="C33" s="605"/>
      <c r="D33" s="606"/>
      <c r="E33" s="606"/>
      <c r="F33" s="607"/>
      <c r="G33" s="607"/>
      <c r="H33" s="607"/>
      <c r="I33" s="607"/>
      <c r="J33" s="607"/>
      <c r="K33" s="607"/>
      <c r="L33" s="608"/>
      <c r="M33" s="607"/>
      <c r="N33" s="607"/>
      <c r="O33" s="607"/>
      <c r="P33" s="607"/>
    </row>
    <row r="34" spans="1:16" ht="18">
      <c r="A34" s="163"/>
      <c r="B34" s="609"/>
      <c r="C34" s="163"/>
      <c r="D34" s="610"/>
      <c r="E34" s="610"/>
      <c r="F34" s="610"/>
      <c r="G34" s="610"/>
      <c r="H34" s="610"/>
      <c r="I34" s="610"/>
      <c r="J34" s="610"/>
      <c r="K34" s="610"/>
    </row>
    <row r="35" spans="1:16" ht="18">
      <c r="B35" s="611" t="s">
        <v>198</v>
      </c>
      <c r="C35" s="139"/>
      <c r="D35" s="610"/>
      <c r="E35" s="610"/>
      <c r="F35" s="610"/>
      <c r="G35" s="610"/>
      <c r="H35" s="610"/>
      <c r="I35" s="610"/>
      <c r="J35" s="610"/>
      <c r="K35" s="610"/>
      <c r="L35" s="141"/>
      <c r="M35" s="141"/>
      <c r="N35" s="141"/>
      <c r="O35" s="141"/>
      <c r="P35" s="141"/>
    </row>
    <row r="36" spans="1:16" ht="18">
      <c r="B36" s="717" t="s">
        <v>286</v>
      </c>
      <c r="C36" s="139"/>
      <c r="D36" s="610"/>
      <c r="E36" s="610"/>
      <c r="F36" s="610"/>
      <c r="G36" s="610"/>
      <c r="H36" s="610"/>
      <c r="I36" s="610"/>
      <c r="J36" s="718"/>
      <c r="K36" s="610"/>
      <c r="L36" s="141"/>
      <c r="M36" s="141"/>
      <c r="N36" s="141"/>
      <c r="O36" s="141"/>
      <c r="P36" s="141"/>
    </row>
    <row r="37" spans="1:16" ht="18">
      <c r="A37" s="139"/>
      <c r="B37" s="611" t="s">
        <v>199</v>
      </c>
      <c r="C37" s="139"/>
      <c r="D37" s="612"/>
      <c r="E37" s="612"/>
      <c r="F37" s="612"/>
      <c r="G37" s="612"/>
      <c r="H37" s="612"/>
      <c r="I37" s="612"/>
      <c r="J37" s="612"/>
      <c r="K37" s="612"/>
      <c r="L37" s="141"/>
      <c r="M37" s="141"/>
      <c r="N37" s="141"/>
      <c r="O37" s="141"/>
      <c r="P37" s="141"/>
    </row>
    <row r="38" spans="1:16" ht="18">
      <c r="A38" s="139"/>
      <c r="B38" s="611" t="s">
        <v>200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41"/>
      <c r="M38" s="141"/>
      <c r="N38" s="141"/>
      <c r="O38" s="141"/>
      <c r="P38" s="141"/>
    </row>
    <row r="39" spans="1:16" ht="18">
      <c r="A39" s="139"/>
      <c r="B39" s="611" t="s">
        <v>201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41"/>
      <c r="M39" s="141"/>
      <c r="N39" s="141"/>
      <c r="O39" s="141"/>
      <c r="P39" s="141"/>
    </row>
    <row r="40" spans="1:16" ht="18">
      <c r="A40" s="139"/>
      <c r="B40" s="613" t="s">
        <v>256</v>
      </c>
      <c r="D40" s="139"/>
      <c r="E40" s="139"/>
      <c r="F40" s="139"/>
      <c r="G40" s="139"/>
      <c r="H40" s="139"/>
      <c r="I40" s="139"/>
      <c r="J40" s="139"/>
      <c r="K40" s="139"/>
      <c r="L40" s="141"/>
      <c r="M40" s="141"/>
      <c r="N40" s="141"/>
      <c r="O40" s="141"/>
      <c r="P40" s="141"/>
    </row>
    <row r="41" spans="1:16" ht="18" customHeight="1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1:16" ht="18" customHeight="1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</row>
    <row r="43" spans="1:16" ht="18" customHeight="1">
      <c r="B43" s="141"/>
      <c r="C43" s="614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</row>
    <row r="44" spans="1:16" ht="18" customHeight="1"/>
    <row r="45" spans="1:16" ht="18" customHeight="1"/>
    <row r="47" spans="1:16" s="141" customFormat="1" ht="13.5" customHeight="1"/>
  </sheetData>
  <mergeCells count="4">
    <mergeCell ref="D5:E5"/>
    <mergeCell ref="F5:G5"/>
    <mergeCell ref="H5:I5"/>
    <mergeCell ref="J5:K5"/>
  </mergeCells>
  <pageMargins left="0.70866141732283505" right="0.70866141732283505" top="0.74803149606299202" bottom="0.74803149606299202" header="0.31496062992126" footer="0.31496062992126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e88b08-59ee-4f5c-857b-7cedd757aded">
      <Terms xmlns="http://schemas.microsoft.com/office/infopath/2007/PartnerControls"/>
    </lcf76f155ced4ddcb4097134ff3c332f>
    <TaxCatchAll xmlns="0c4393c8-c838-46a5-a0b4-26a180c460be" xsi:nil="true"/>
    <SharedWithUsers xmlns="0c4393c8-c838-46a5-a0b4-26a180c460be">
      <UserInfo>
        <DisplayName>SharingLinks.a2aedbe9-644b-402e-91f9-f4e75cfeb567.Flexible.e3b57b5e-90b4-4e71-80d9-eeb15e1ba1c6</DisplayName>
        <AccountId>142</AccountId>
        <AccountType/>
      </UserInfo>
      <UserInfo>
        <DisplayName>Jennifer Sadeli (Singtel)</DisplayName>
        <AccountId>144</AccountId>
        <AccountType/>
      </UserInfo>
      <UserInfo>
        <DisplayName>Sylvia Kwan (Singtel)</DisplayName>
        <AccountId>395</AccountId>
        <AccountType/>
      </UserInfo>
      <UserInfo>
        <DisplayName>Breda Power</DisplayName>
        <AccountId>24</AccountId>
        <AccountType/>
      </UserInfo>
      <UserInfo>
        <DisplayName>Seah Jek Lim Adrian</DisplayName>
        <AccountId>13</AccountId>
        <AccountType/>
      </UserInfo>
      <UserInfo>
        <DisplayName>Xiushi Cai</DisplayName>
        <AccountId>18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F8C39CBEA5949A281D643FEB5E450" ma:contentTypeVersion="18" ma:contentTypeDescription="Create a new document." ma:contentTypeScope="" ma:versionID="c007ffba273eb214928bdc671a911b47">
  <xsd:schema xmlns:xsd="http://www.w3.org/2001/XMLSchema" xmlns:xs="http://www.w3.org/2001/XMLSchema" xmlns:p="http://schemas.microsoft.com/office/2006/metadata/properties" xmlns:ns2="d9e88b08-59ee-4f5c-857b-7cedd757aded" xmlns:ns3="0c4393c8-c838-46a5-a0b4-26a180c460be" targetNamespace="http://schemas.microsoft.com/office/2006/metadata/properties" ma:root="true" ma:fieldsID="17e3b73171a43a8a257463019cdd10cc" ns2:_="" ns3:_="">
    <xsd:import namespace="d9e88b08-59ee-4f5c-857b-7cedd757aded"/>
    <xsd:import namespace="0c4393c8-c838-46a5-a0b4-26a180c46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88b08-59ee-4f5c-857b-7cedd757a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5741de4-c4de-40d7-9b89-276bd462a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393c8-c838-46a5-a0b4-26a180c46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f11d3c-9a7d-450b-a6e1-fbac2121eac1}" ma:internalName="TaxCatchAll" ma:showField="CatchAllData" ma:web="0c4393c8-c838-46a5-a0b4-26a180c46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35079-2B9B-4597-A577-80EE2CED1FBB}">
  <ds:schemaRefs>
    <ds:schemaRef ds:uri="0c4393c8-c838-46a5-a0b4-26a180c460be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9e88b08-59ee-4f5c-857b-7cedd757aded"/>
  </ds:schemaRefs>
</ds:datastoreItem>
</file>

<file path=customXml/itemProps2.xml><?xml version="1.0" encoding="utf-8"?>
<ds:datastoreItem xmlns:ds="http://schemas.openxmlformats.org/officeDocument/2006/customXml" ds:itemID="{1111790B-C9DD-4F97-898D-2712BA397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88b08-59ee-4f5c-857b-7cedd757aded"/>
    <ds:schemaRef ds:uri="0c4393c8-c838-46a5-a0b4-26a180c46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B771E1-FA2E-4E71-B94F-730EABCB96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eb276ac-6e9f-498e-8e31-019ee666decd}" enabled="0" method="" siteId="{beb276ac-6e9f-498e-8e31-019ee666de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Group P&amp;L (Half year)</vt:lpstr>
      <vt:lpstr>Optus (A$) (Half Year)</vt:lpstr>
      <vt:lpstr>Singtel Singapore (Half year)</vt:lpstr>
      <vt:lpstr>Singapore Consumer (Half year)</vt:lpstr>
      <vt:lpstr>NCS (Half year)</vt:lpstr>
      <vt:lpstr>Group Enterprise (Half year)</vt:lpstr>
      <vt:lpstr>Digital Co (Half year)</vt:lpstr>
      <vt:lpstr>Associates (Half year)</vt:lpstr>
      <vt:lpstr>Singapore drivers (Half year)</vt:lpstr>
      <vt:lpstr>Optus drivers (Half year)</vt:lpstr>
      <vt:lpstr>Group Balance Sheet (Half year)</vt:lpstr>
      <vt:lpstr>'Associates (Half year)'!Print_Area</vt:lpstr>
      <vt:lpstr>'Digital Co (Half year)'!Print_Area</vt:lpstr>
      <vt:lpstr>'Group Balance Sheet (Half year)'!Print_Area</vt:lpstr>
      <vt:lpstr>'Group Enterprise (Half year)'!Print_Area</vt:lpstr>
      <vt:lpstr>'Group P&amp;L (Half year)'!Print_Area</vt:lpstr>
      <vt:lpstr>'NCS (Half year)'!Print_Area</vt:lpstr>
      <vt:lpstr>'Optus (A$) (Half Year)'!Print_Area</vt:lpstr>
      <vt:lpstr>'Optus drivers (Half year)'!Print_Area</vt:lpstr>
      <vt:lpstr>'Singapore Consumer (Half year)'!Print_Area</vt:lpstr>
      <vt:lpstr>'Singapore drivers (Half year)'!Print_Area</vt:lpstr>
      <vt:lpstr>'Singtel Singapore (Half year)'!Print_Area</vt:lpstr>
    </vt:vector>
  </TitlesOfParts>
  <Manager/>
  <Company>Singapore Telecom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aivinn</dc:creator>
  <cp:keywords/>
  <dc:description/>
  <cp:lastModifiedBy>Xiushi Cai</cp:lastModifiedBy>
  <cp:revision/>
  <cp:lastPrinted>2026-05-20T08:29:38Z</cp:lastPrinted>
  <dcterms:created xsi:type="dcterms:W3CDTF">2003-06-10T07:20:24Z</dcterms:created>
  <dcterms:modified xsi:type="dcterms:W3CDTF">2026-05-20T08:50:12Z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0x010100F5CF8C39CBEA5949A281D643FEB5E450</vt:lpwstr>
  </property>
  <property fmtid="{D5CDD505-2E9C-101B-9397-08002B2CF9AE}" pid="4" name="MediaServiceImageTags">
    <vt:lpwstr/>
  </property>
</Properties>
</file>